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fileSharing userName="Luiz Izidoro" algorithmName="SHA-512" hashValue="kQsm3bHTohTnmpY0gZV/eSNCQs3ndQJv640rquWkyKHeuL5usoB6g3GUp6D7VeACPNInP8DRv5MWj8M7sE4ufg==" saltValue="AwjXPxTmbTIL62lXSQnlrw==" spinCount="100000"/>
  <workbookPr/>
  <mc:AlternateContent xmlns:mc="http://schemas.openxmlformats.org/markup-compatibility/2006">
    <mc:Choice Requires="x15">
      <x15ac:absPath xmlns:x15ac="http://schemas.microsoft.com/office/spreadsheetml/2010/11/ac" url="C:\04 - SERVIÇOS\2016\05 - GISLEINE\02 - Prescrição CADEIRA\12 - VERSÃO DEFINITIVA  - ENVIADA PARA CLIENTES\"/>
    </mc:Choice>
  </mc:AlternateContent>
  <bookViews>
    <workbookView xWindow="0" yWindow="0" windowWidth="28800" windowHeight="11385" tabRatio="825"/>
  </bookViews>
  <sheets>
    <sheet name="DEFINA O TAMANHO DA CADEIRA" sheetId="18" r:id="rId1"/>
    <sheet name="MONTE AQUI SUA CADEIRA DE RODAS" sheetId="2" r:id="rId2"/>
    <sheet name="FICHA PRODUÇÃO  -  EXPANSÃO" sheetId="17" r:id="rId3"/>
  </sheets>
  <definedNames>
    <definedName name="_xlnm.Print_Area" localSheetId="0">'DEFINA O TAMANHO DA CADEIRA'!$C$2:$AA$162</definedName>
    <definedName name="_xlnm.Print_Area" localSheetId="2">'FICHA PRODUÇÃO  -  EXPANSÃO'!$B$3:$E$70</definedName>
    <definedName name="_xlnm.Print_Area" localSheetId="1">'MONTE AQUI SUA CADEIRA DE RODAS'!$H$1:$AB$196</definedName>
    <definedName name="_xlnm.Print_Titles" localSheetId="1">'MONTE AQUI SUA CADEIRA DE RODAS'!$1:$8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8" i="17" l="1"/>
  <c r="B8" i="17" s="1"/>
  <c r="BL326" i="2" l="1"/>
  <c r="BL322" i="2"/>
  <c r="BR327" i="2" l="1"/>
  <c r="D60" i="17" s="1"/>
  <c r="BI262" i="2"/>
  <c r="BO53" i="2" l="1"/>
  <c r="R24" i="17" l="1"/>
  <c r="S24" i="17" s="1"/>
  <c r="T24" i="17" s="1"/>
  <c r="R27" i="17" l="1"/>
  <c r="B12" i="17" s="1"/>
  <c r="V8" i="17"/>
  <c r="S9" i="17"/>
  <c r="S11" i="17" s="1"/>
  <c r="V9" i="17"/>
  <c r="S15" i="17"/>
  <c r="S12" i="17" l="1"/>
  <c r="BB316" i="2"/>
  <c r="BB319" i="2"/>
  <c r="BZ226" i="2"/>
  <c r="BI232" i="2"/>
  <c r="BJ229" i="2" s="1"/>
  <c r="AW224" i="2"/>
  <c r="AV323" i="2" l="1"/>
  <c r="BT315" i="2" s="1"/>
  <c r="BZ316" i="2" s="1"/>
  <c r="B61" i="17" s="1"/>
  <c r="AV27" i="2"/>
  <c r="AZ27" i="2"/>
  <c r="BX12" i="2" s="1"/>
  <c r="Q10" i="2" s="1"/>
  <c r="AZ12" i="2"/>
  <c r="AW32" i="2" s="1"/>
  <c r="AW12" i="2"/>
  <c r="AW31" i="2" s="1"/>
  <c r="D11" i="17" l="1"/>
  <c r="AW27" i="2"/>
  <c r="BZ326" i="2"/>
  <c r="B59" i="17" s="1"/>
  <c r="BZ324" i="2"/>
  <c r="B63" i="17" s="1"/>
  <c r="BZ302" i="2"/>
  <c r="BZ256" i="2"/>
  <c r="BF246" i="2"/>
  <c r="BZ239" i="2"/>
  <c r="BZ171" i="2"/>
  <c r="BX14" i="2" l="1"/>
  <c r="BZ306" i="2"/>
  <c r="BI307" i="2"/>
  <c r="BT308" i="2" s="1"/>
  <c r="BZ308" i="2"/>
  <c r="BB309" i="2"/>
  <c r="CB310" i="2" s="1"/>
  <c r="BZ310" i="2"/>
  <c r="BZ312" i="2"/>
  <c r="BI315" i="2"/>
  <c r="BT309" i="2" s="1"/>
  <c r="CF315" i="2"/>
  <c r="BT317" i="2"/>
  <c r="CB312" i="2" s="1"/>
  <c r="CF317" i="2"/>
  <c r="AV320" i="2"/>
  <c r="CF319" i="2"/>
  <c r="BR320" i="2"/>
  <c r="BT313" i="2" s="1"/>
  <c r="BZ320" i="2"/>
  <c r="CF321" i="2"/>
  <c r="BI322" i="2"/>
  <c r="AV319" i="2" s="1"/>
  <c r="BB323" i="2"/>
  <c r="CF323" i="2"/>
  <c r="BA282" i="2"/>
  <c r="BI288" i="2" s="1"/>
  <c r="AW285" i="2"/>
  <c r="BZ286" i="2" s="1"/>
  <c r="BA292" i="2"/>
  <c r="BI290" i="2" s="1"/>
  <c r="BR243" i="2"/>
  <c r="BZ243" i="2"/>
  <c r="BZ244" i="2"/>
  <c r="BA246" i="2"/>
  <c r="BI250" i="2"/>
  <c r="BI245" i="2" s="1"/>
  <c r="BT248" i="2" s="1"/>
  <c r="BL246" i="2"/>
  <c r="BR246" i="2" s="1"/>
  <c r="BA264" i="2"/>
  <c r="BF264" i="2"/>
  <c r="BR263" i="2" s="1"/>
  <c r="BR269" i="2"/>
  <c r="BR270" i="2"/>
  <c r="BZ278" i="2"/>
  <c r="BZ225" i="2"/>
  <c r="BA224" i="2"/>
  <c r="BJ228" i="2" s="1"/>
  <c r="BF224" i="2"/>
  <c r="BJ226" i="2" s="1"/>
  <c r="BA232" i="2"/>
  <c r="BJ225" i="2" s="1"/>
  <c r="BF232" i="2"/>
  <c r="BJ227" i="2" s="1"/>
  <c r="AW201" i="2"/>
  <c r="BZ202" i="2" s="1"/>
  <c r="C42" i="17" s="1"/>
  <c r="BA202" i="2"/>
  <c r="BS203" i="2" s="1"/>
  <c r="BF202" i="2"/>
  <c r="AW207" i="2" s="1"/>
  <c r="BZ208" i="2"/>
  <c r="BZ217" i="2"/>
  <c r="B43" i="17" s="1"/>
  <c r="BR176" i="2"/>
  <c r="BS176" i="2"/>
  <c r="BR177" i="2"/>
  <c r="BS177" i="2"/>
  <c r="BF178" i="2"/>
  <c r="BU176" i="2" s="1"/>
  <c r="BF179" i="2"/>
  <c r="BU177" i="2" s="1"/>
  <c r="BZ176" i="2" s="1"/>
  <c r="BZ180" i="2"/>
  <c r="BZ184" i="2"/>
  <c r="BA185" i="2"/>
  <c r="CB178" i="2" s="1"/>
  <c r="BF185" i="2"/>
  <c r="AV179" i="2" s="1"/>
  <c r="BZ178" i="2" s="1"/>
  <c r="BK185" i="2"/>
  <c r="AV185" i="2" s="1"/>
  <c r="BZ182" i="2" s="1"/>
  <c r="BS188" i="2"/>
  <c r="AW148" i="2"/>
  <c r="BZ150" i="2" s="1"/>
  <c r="BI148" i="2"/>
  <c r="BT157" i="2" s="1"/>
  <c r="BZ153" i="2" s="1"/>
  <c r="BJ148" i="2"/>
  <c r="CA153" i="2" s="1"/>
  <c r="BZ155" i="2"/>
  <c r="BZ159" i="2"/>
  <c r="BF150" i="2"/>
  <c r="BT163" i="2" s="1"/>
  <c r="T161" i="2"/>
  <c r="BK160" i="2"/>
  <c r="T163" i="2"/>
  <c r="B40" i="17"/>
  <c r="Q11" i="2" l="1"/>
  <c r="D12" i="17"/>
  <c r="AV321" i="2"/>
  <c r="BR315" i="2" s="1"/>
  <c r="BZ318" i="2" s="1"/>
  <c r="B62" i="17" s="1"/>
  <c r="BZ314" i="2"/>
  <c r="BT228" i="2"/>
  <c r="CB308" i="2"/>
  <c r="BI289" i="2"/>
  <c r="CB286" i="2" s="1"/>
  <c r="BZ251" i="2"/>
  <c r="BT251" i="2"/>
  <c r="BZ248" i="2" s="1"/>
  <c r="C48" i="17" s="1"/>
  <c r="C49" i="17" s="1"/>
  <c r="BZ175" i="2"/>
  <c r="CC319" i="2"/>
  <c r="BR265" i="2"/>
  <c r="CB260" i="2" s="1"/>
  <c r="BL248" i="2"/>
  <c r="BR248" i="2" s="1"/>
  <c r="R305" i="2"/>
  <c r="BA215" i="2"/>
  <c r="BT206" i="2" s="1"/>
  <c r="CB202" i="2" s="1"/>
  <c r="BR203" i="2"/>
  <c r="P211" i="2"/>
  <c r="BR260" i="2" l="1"/>
  <c r="CB120" i="2"/>
  <c r="N121" i="2" s="1"/>
  <c r="N137" i="2" s="1"/>
  <c r="BX116" i="2"/>
  <c r="BX132" i="2"/>
  <c r="BA31" i="18" l="1"/>
  <c r="BA30" i="18"/>
  <c r="BA29" i="18"/>
  <c r="BJ41" i="2" l="1"/>
  <c r="BI41" i="2"/>
  <c r="BH41" i="2"/>
  <c r="BG41" i="2"/>
  <c r="BX88" i="2" l="1"/>
  <c r="D27" i="17" s="1"/>
  <c r="BX83" i="2"/>
  <c r="BH162" i="18" l="1"/>
  <c r="BR49" i="18"/>
  <c r="BJ49" i="18"/>
  <c r="BM55" i="18" l="1"/>
  <c r="BH164" i="18" s="1"/>
  <c r="CH70" i="2" l="1"/>
  <c r="B22" i="17" s="1"/>
  <c r="BT69" i="2"/>
  <c r="CJ70" i="2" s="1"/>
  <c r="D22" i="17" s="1"/>
  <c r="BA36" i="18" l="1"/>
  <c r="BA35" i="18"/>
  <c r="BA34" i="18"/>
  <c r="C38" i="17"/>
  <c r="BA38" i="18" l="1"/>
  <c r="BA40" i="18" s="1"/>
  <c r="B50" i="17"/>
  <c r="F81" i="2" l="1"/>
  <c r="BD41" i="2"/>
  <c r="BK52" i="2" s="1"/>
  <c r="C9" i="17" l="1"/>
  <c r="C8" i="17"/>
  <c r="E9" i="17"/>
  <c r="E8" i="17"/>
  <c r="V102" i="18"/>
  <c r="X117" i="18" s="1"/>
  <c r="Q102" i="18"/>
  <c r="R114" i="18" s="1"/>
  <c r="L102" i="18"/>
  <c r="F102" i="18"/>
  <c r="G105" i="18" s="1"/>
  <c r="M117" i="18" l="1"/>
  <c r="L126" i="18" s="1"/>
  <c r="M111" i="18"/>
  <c r="L124" i="18" s="1"/>
  <c r="M114" i="18"/>
  <c r="L125" i="18" s="1"/>
  <c r="M105" i="18"/>
  <c r="L122" i="18" s="1"/>
  <c r="M108" i="18"/>
  <c r="L123" i="18" s="1"/>
  <c r="G108" i="18"/>
  <c r="F123" i="18" s="1"/>
  <c r="Q108" i="18"/>
  <c r="P123" i="18" s="1"/>
  <c r="R111" i="18"/>
  <c r="Q124" i="18" s="1"/>
  <c r="R117" i="18"/>
  <c r="Q126" i="18" s="1"/>
  <c r="Q111" i="18"/>
  <c r="Q105" i="18"/>
  <c r="G114" i="18"/>
  <c r="Q117" i="18"/>
  <c r="R105" i="18"/>
  <c r="Q122" i="18" s="1"/>
  <c r="Q114" i="18"/>
  <c r="P125" i="18" s="1"/>
  <c r="Q125" i="18"/>
  <c r="U116" i="18"/>
  <c r="U126" i="18" s="1"/>
  <c r="V126" i="18"/>
  <c r="E104" i="18"/>
  <c r="F122" i="18"/>
  <c r="G111" i="18"/>
  <c r="G117" i="18"/>
  <c r="X108" i="18"/>
  <c r="X114" i="18"/>
  <c r="L105" i="18"/>
  <c r="R108" i="18"/>
  <c r="L111" i="18"/>
  <c r="L117" i="18"/>
  <c r="L108" i="18"/>
  <c r="L114" i="18"/>
  <c r="X105" i="18"/>
  <c r="X111" i="18"/>
  <c r="E57" i="17"/>
  <c r="E59" i="17"/>
  <c r="D58" i="17"/>
  <c r="E58" i="17"/>
  <c r="D59" i="17"/>
  <c r="D57" i="17"/>
  <c r="C58" i="17"/>
  <c r="B9" i="17" l="1"/>
  <c r="BS133" i="18"/>
  <c r="P169" i="18"/>
  <c r="BR131" i="18"/>
  <c r="N167" i="18"/>
  <c r="BR129" i="18"/>
  <c r="N165" i="18"/>
  <c r="BR132" i="18"/>
  <c r="N168" i="18"/>
  <c r="BR133" i="18"/>
  <c r="N169" i="18"/>
  <c r="BQ129" i="18"/>
  <c r="L165" i="18"/>
  <c r="BQ132" i="18"/>
  <c r="L168" i="18"/>
  <c r="BQ131" i="18"/>
  <c r="L167" i="18"/>
  <c r="BQ130" i="18"/>
  <c r="L166" i="18"/>
  <c r="BQ133" i="18"/>
  <c r="L169" i="18"/>
  <c r="BP129" i="18"/>
  <c r="J165" i="18"/>
  <c r="BP130" i="18"/>
  <c r="J166" i="18"/>
  <c r="C57" i="17"/>
  <c r="P114" i="18"/>
  <c r="O113" i="18" s="1"/>
  <c r="O125" i="18" s="1"/>
  <c r="E107" i="18"/>
  <c r="E123" i="18" s="1"/>
  <c r="P126" i="18"/>
  <c r="P117" i="18"/>
  <c r="O116" i="18" s="1"/>
  <c r="O126" i="18" s="1"/>
  <c r="E113" i="18"/>
  <c r="E125" i="18" s="1"/>
  <c r="F125" i="18"/>
  <c r="P122" i="18"/>
  <c r="P105" i="18"/>
  <c r="O104" i="18" s="1"/>
  <c r="O122" i="18" s="1"/>
  <c r="P124" i="18"/>
  <c r="P111" i="18"/>
  <c r="O110" i="18" s="1"/>
  <c r="O124" i="18" s="1"/>
  <c r="K122" i="18"/>
  <c r="K105" i="18"/>
  <c r="J104" i="18" s="1"/>
  <c r="V125" i="18"/>
  <c r="U113" i="18"/>
  <c r="U125" i="18" s="1"/>
  <c r="U104" i="18"/>
  <c r="V122" i="18"/>
  <c r="V123" i="18"/>
  <c r="U107" i="18"/>
  <c r="U123" i="18" s="1"/>
  <c r="K125" i="18"/>
  <c r="K114" i="18"/>
  <c r="J113" i="18" s="1"/>
  <c r="J125" i="18" s="1"/>
  <c r="E116" i="18"/>
  <c r="E126" i="18" s="1"/>
  <c r="F126" i="18"/>
  <c r="K108" i="18"/>
  <c r="J107" i="18" s="1"/>
  <c r="J123" i="18" s="1"/>
  <c r="K123" i="18"/>
  <c r="F124" i="18"/>
  <c r="E110" i="18"/>
  <c r="E124" i="18" s="1"/>
  <c r="K126" i="18"/>
  <c r="K117" i="18"/>
  <c r="J116" i="18" s="1"/>
  <c r="J126" i="18" s="1"/>
  <c r="E122" i="18"/>
  <c r="K124" i="18"/>
  <c r="K111" i="18"/>
  <c r="J110" i="18" s="1"/>
  <c r="J124" i="18" s="1"/>
  <c r="Q123" i="18"/>
  <c r="P108" i="18"/>
  <c r="O107" i="18" s="1"/>
  <c r="U110" i="18"/>
  <c r="U124" i="18" s="1"/>
  <c r="V124" i="18"/>
  <c r="D43" i="17"/>
  <c r="BS131" i="18" l="1"/>
  <c r="P167" i="18"/>
  <c r="BS130" i="18"/>
  <c r="P166" i="18"/>
  <c r="BS132" i="18"/>
  <c r="P168" i="18"/>
  <c r="BS129" i="18"/>
  <c r="P165" i="18"/>
  <c r="U165" i="18" s="1"/>
  <c r="BR130" i="18"/>
  <c r="N166" i="18"/>
  <c r="BP133" i="18"/>
  <c r="J169" i="18"/>
  <c r="BP132" i="18"/>
  <c r="J168" i="18"/>
  <c r="BP131" i="18"/>
  <c r="J167" i="18"/>
  <c r="E132" i="18"/>
  <c r="F132" i="18" s="1"/>
  <c r="BH141" i="18" s="1"/>
  <c r="E133" i="18"/>
  <c r="F133" i="18" s="1"/>
  <c r="E131" i="18"/>
  <c r="F131" i="18" s="1"/>
  <c r="BH140" i="18" s="1"/>
  <c r="O123" i="18"/>
  <c r="O131" i="18"/>
  <c r="P131" i="18" s="1"/>
  <c r="O130" i="18"/>
  <c r="P130" i="18" s="1"/>
  <c r="O129" i="18"/>
  <c r="P129" i="18" s="1"/>
  <c r="O133" i="18"/>
  <c r="P133" i="18" s="1"/>
  <c r="BJ142" i="18" s="1"/>
  <c r="O132" i="18"/>
  <c r="P132" i="18" s="1"/>
  <c r="E129" i="18"/>
  <c r="F129" i="18" s="1"/>
  <c r="E130" i="18"/>
  <c r="F130" i="18" s="1"/>
  <c r="U122" i="18"/>
  <c r="U133" i="18"/>
  <c r="V133" i="18" s="1"/>
  <c r="BK142" i="18" s="1"/>
  <c r="U132" i="18"/>
  <c r="V132" i="18" s="1"/>
  <c r="U131" i="18"/>
  <c r="V131" i="18" s="1"/>
  <c r="U130" i="18"/>
  <c r="V130" i="18" s="1"/>
  <c r="U129" i="18"/>
  <c r="V129" i="18" s="1"/>
  <c r="J122" i="18"/>
  <c r="J133" i="18"/>
  <c r="K133" i="18" s="1"/>
  <c r="BI142" i="18" s="1"/>
  <c r="J132" i="18"/>
  <c r="K132" i="18" s="1"/>
  <c r="J131" i="18"/>
  <c r="K131" i="18" s="1"/>
  <c r="J130" i="18"/>
  <c r="K130" i="18" s="1"/>
  <c r="J129" i="18"/>
  <c r="K129" i="18" s="1"/>
  <c r="S165" i="18" l="1"/>
  <c r="U166" i="18"/>
  <c r="S166" i="18"/>
  <c r="S167" i="18"/>
  <c r="U167" i="18"/>
  <c r="U168" i="18"/>
  <c r="S168" i="18"/>
  <c r="S169" i="18"/>
  <c r="U169" i="18"/>
  <c r="G133" i="18"/>
  <c r="BH142" i="18"/>
  <c r="K147" i="18"/>
  <c r="K158" i="18" s="1"/>
  <c r="BQ139" i="18" s="1"/>
  <c r="K139" i="18"/>
  <c r="K146" i="18"/>
  <c r="K157" i="18" s="1"/>
  <c r="BQ138" i="18" s="1"/>
  <c r="K149" i="18"/>
  <c r="K140" i="18"/>
  <c r="Q158" i="18" s="1"/>
  <c r="BY139" i="18" s="1"/>
  <c r="K148" i="18"/>
  <c r="K142" i="18"/>
  <c r="K141" i="18"/>
  <c r="F142" i="18"/>
  <c r="F140" i="18"/>
  <c r="F141" i="18"/>
  <c r="F148" i="18"/>
  <c r="F149" i="18"/>
  <c r="F147" i="18"/>
  <c r="F146" i="18"/>
  <c r="F139" i="18"/>
  <c r="P157" i="18" s="1"/>
  <c r="BX138" i="18" s="1"/>
  <c r="V147" i="18"/>
  <c r="V146" i="18"/>
  <c r="V149" i="18"/>
  <c r="V139" i="18"/>
  <c r="S157" i="18" s="1"/>
  <c r="CA138" i="18" s="1"/>
  <c r="V140" i="18"/>
  <c r="V148" i="18"/>
  <c r="V142" i="18"/>
  <c r="V141" i="18"/>
  <c r="P139" i="18"/>
  <c r="P142" i="18"/>
  <c r="P147" i="18"/>
  <c r="L158" i="18" s="1"/>
  <c r="BR139" i="18" s="1"/>
  <c r="P141" i="18"/>
  <c r="P146" i="18"/>
  <c r="L157" i="18" s="1"/>
  <c r="BR138" i="18" s="1"/>
  <c r="P149" i="18"/>
  <c r="P148" i="18"/>
  <c r="P140" i="18"/>
  <c r="R158" i="18" s="1"/>
  <c r="BZ139" i="18" s="1"/>
  <c r="G132" i="18"/>
  <c r="G131" i="18"/>
  <c r="G130" i="18"/>
  <c r="BH139" i="18"/>
  <c r="Q131" i="18"/>
  <c r="BJ140" i="18"/>
  <c r="R131" i="18"/>
  <c r="W130" i="18"/>
  <c r="BK139" i="18"/>
  <c r="BI140" i="18"/>
  <c r="M131" i="18"/>
  <c r="L131" i="18"/>
  <c r="W131" i="18"/>
  <c r="BK140" i="18"/>
  <c r="BI141" i="18"/>
  <c r="M132" i="18"/>
  <c r="L132" i="18"/>
  <c r="BK141" i="18"/>
  <c r="W132" i="18"/>
  <c r="L133" i="18"/>
  <c r="M133" i="18"/>
  <c r="W133" i="18"/>
  <c r="Q132" i="18"/>
  <c r="BJ141" i="18"/>
  <c r="R132" i="18"/>
  <c r="M129" i="18"/>
  <c r="L129" i="18"/>
  <c r="BI138" i="18"/>
  <c r="BK138" i="18"/>
  <c r="W129" i="18"/>
  <c r="M130" i="18"/>
  <c r="L130" i="18"/>
  <c r="BI139" i="18"/>
  <c r="BH138" i="18"/>
  <c r="G129" i="18"/>
  <c r="Q133" i="18"/>
  <c r="R133" i="18"/>
  <c r="Q129" i="18"/>
  <c r="BJ138" i="18"/>
  <c r="R129" i="18"/>
  <c r="Q130" i="18"/>
  <c r="BJ139" i="18"/>
  <c r="R130" i="18"/>
  <c r="BX47" i="2"/>
  <c r="G174" i="18" l="1"/>
  <c r="H174" i="18" s="1"/>
  <c r="G185" i="18"/>
  <c r="H185" i="18" s="1"/>
  <c r="R185" i="18" s="1"/>
  <c r="M185" i="18" s="1"/>
  <c r="G177" i="18"/>
  <c r="H177" i="18" s="1"/>
  <c r="R177" i="18" s="1"/>
  <c r="M177" i="18" s="1"/>
  <c r="G181" i="18"/>
  <c r="H181" i="18" s="1"/>
  <c r="G184" i="18"/>
  <c r="H184" i="18" s="1"/>
  <c r="O184" i="18" s="1"/>
  <c r="J184" i="18" s="1"/>
  <c r="G182" i="18"/>
  <c r="H182" i="18" s="1"/>
  <c r="G175" i="18"/>
  <c r="H175" i="18" s="1"/>
  <c r="AH57" i="18" s="1"/>
  <c r="G178" i="18"/>
  <c r="H178" i="18" s="1"/>
  <c r="G183" i="18"/>
  <c r="H183" i="18" s="1"/>
  <c r="X57" i="18" s="1"/>
  <c r="G176" i="18"/>
  <c r="H176" i="18" s="1"/>
  <c r="AE57" i="18" s="1"/>
  <c r="W141" i="18"/>
  <c r="G148" i="18"/>
  <c r="G141" i="18"/>
  <c r="W148" i="18"/>
  <c r="W149" i="18"/>
  <c r="W142" i="18"/>
  <c r="G146" i="18"/>
  <c r="J157" i="18"/>
  <c r="BP138" i="18" s="1"/>
  <c r="M157" i="18"/>
  <c r="BS138" i="18" s="1"/>
  <c r="W146" i="18"/>
  <c r="G140" i="18"/>
  <c r="P158" i="18"/>
  <c r="BX139" i="18" s="1"/>
  <c r="L141" i="18"/>
  <c r="L148" i="18"/>
  <c r="L147" i="18"/>
  <c r="L146" i="18"/>
  <c r="M140" i="18"/>
  <c r="M141" i="18"/>
  <c r="M148" i="18"/>
  <c r="M146" i="18"/>
  <c r="M142" i="18"/>
  <c r="M149" i="18"/>
  <c r="L142" i="18"/>
  <c r="Q157" i="18"/>
  <c r="BY138" i="18" s="1"/>
  <c r="L149" i="18"/>
  <c r="M147" i="18"/>
  <c r="L140" i="18"/>
  <c r="J158" i="18"/>
  <c r="BP139" i="18" s="1"/>
  <c r="G147" i="18"/>
  <c r="R149" i="18"/>
  <c r="R141" i="18"/>
  <c r="Q142" i="18"/>
  <c r="R157" i="18"/>
  <c r="BZ138" i="18" s="1"/>
  <c r="Q148" i="18"/>
  <c r="Q146" i="18"/>
  <c r="R142" i="18"/>
  <c r="Q141" i="18"/>
  <c r="Q149" i="18"/>
  <c r="R148" i="18"/>
  <c r="R147" i="18"/>
  <c r="R146" i="18"/>
  <c r="Q140" i="18"/>
  <c r="Q147" i="18"/>
  <c r="R140" i="18"/>
  <c r="S158" i="18"/>
  <c r="CA139" i="18" s="1"/>
  <c r="W140" i="18"/>
  <c r="M158" i="18"/>
  <c r="BS139" i="18" s="1"/>
  <c r="W147" i="18"/>
  <c r="G149" i="18"/>
  <c r="G142" i="18"/>
  <c r="W139" i="18"/>
  <c r="M139" i="18"/>
  <c r="L139" i="18"/>
  <c r="R139" i="18"/>
  <c r="Q139" i="18"/>
  <c r="G139" i="18"/>
  <c r="BX51" i="2"/>
  <c r="BX40" i="2" s="1"/>
  <c r="B18" i="17" s="1"/>
  <c r="BI149" i="18"/>
  <c r="BH149" i="18" s="1"/>
  <c r="BI148" i="18"/>
  <c r="BH148" i="18" s="1"/>
  <c r="BI147" i="18"/>
  <c r="BH147" i="18" s="1"/>
  <c r="BI146" i="18"/>
  <c r="BH146" i="18" s="1"/>
  <c r="BI145" i="18"/>
  <c r="BH145" i="18" s="1"/>
  <c r="CJ54" i="2" l="1"/>
  <c r="R182" i="18"/>
  <c r="M182" i="18" s="1"/>
  <c r="U68" i="18" s="1"/>
  <c r="U57" i="18"/>
  <c r="R174" i="18"/>
  <c r="M174" i="18" s="1"/>
  <c r="AK68" i="18" s="1"/>
  <c r="AK57" i="18"/>
  <c r="P181" i="18"/>
  <c r="K181" i="18" s="1"/>
  <c r="R64" i="18" s="1"/>
  <c r="R57" i="18"/>
  <c r="O181" i="18"/>
  <c r="J181" i="18" s="1"/>
  <c r="R62" i="18" s="1"/>
  <c r="Q174" i="18"/>
  <c r="L174" i="18" s="1"/>
  <c r="AK66" i="18" s="1"/>
  <c r="P174" i="18"/>
  <c r="K174" i="18" s="1"/>
  <c r="AK64" i="18" s="1"/>
  <c r="O174" i="18"/>
  <c r="J174" i="18" s="1"/>
  <c r="AK62" i="18" s="1"/>
  <c r="Q185" i="18"/>
  <c r="L185" i="18" s="1"/>
  <c r="P185" i="18"/>
  <c r="K185" i="18" s="1"/>
  <c r="P182" i="18"/>
  <c r="K182" i="18" s="1"/>
  <c r="U64" i="18" s="1"/>
  <c r="Q177" i="18"/>
  <c r="L177" i="18" s="1"/>
  <c r="O185" i="18"/>
  <c r="J185" i="18" s="1"/>
  <c r="P177" i="18"/>
  <c r="K177" i="18" s="1"/>
  <c r="Q181" i="18"/>
  <c r="L181" i="18" s="1"/>
  <c r="R66" i="18" s="1"/>
  <c r="O177" i="18"/>
  <c r="J177" i="18" s="1"/>
  <c r="R181" i="18"/>
  <c r="M181" i="18" s="1"/>
  <c r="R68" i="18" s="1"/>
  <c r="Q184" i="18"/>
  <c r="L184" i="18" s="1"/>
  <c r="O182" i="18"/>
  <c r="J182" i="18" s="1"/>
  <c r="U62" i="18" s="1"/>
  <c r="R184" i="18"/>
  <c r="M184" i="18" s="1"/>
  <c r="Q182" i="18"/>
  <c r="L182" i="18" s="1"/>
  <c r="U66" i="18" s="1"/>
  <c r="P184" i="18"/>
  <c r="K184" i="18" s="1"/>
  <c r="Q183" i="18"/>
  <c r="L183" i="18" s="1"/>
  <c r="X66" i="18" s="1"/>
  <c r="O183" i="18"/>
  <c r="J183" i="18" s="1"/>
  <c r="X62" i="18" s="1"/>
  <c r="P183" i="18"/>
  <c r="K183" i="18" s="1"/>
  <c r="X64" i="18" s="1"/>
  <c r="R183" i="18"/>
  <c r="M183" i="18" s="1"/>
  <c r="X68" i="18" s="1"/>
  <c r="P176" i="18"/>
  <c r="K176" i="18" s="1"/>
  <c r="AE64" i="18" s="1"/>
  <c r="O176" i="18"/>
  <c r="J176" i="18" s="1"/>
  <c r="AE62" i="18" s="1"/>
  <c r="R176" i="18"/>
  <c r="M176" i="18" s="1"/>
  <c r="AE68" i="18" s="1"/>
  <c r="Q176" i="18"/>
  <c r="L176" i="18" s="1"/>
  <c r="AE66" i="18" s="1"/>
  <c r="R175" i="18"/>
  <c r="M175" i="18" s="1"/>
  <c r="AH68" i="18" s="1"/>
  <c r="Q175" i="18"/>
  <c r="L175" i="18" s="1"/>
  <c r="AH66" i="18" s="1"/>
  <c r="O175" i="18"/>
  <c r="J175" i="18" s="1"/>
  <c r="AH62" i="18" s="1"/>
  <c r="P175" i="18"/>
  <c r="K175" i="18" s="1"/>
  <c r="AH64" i="18" s="1"/>
  <c r="O178" i="18"/>
  <c r="J178" i="18" s="1"/>
  <c r="P178" i="18"/>
  <c r="K178" i="18" s="1"/>
  <c r="R178" i="18"/>
  <c r="M178" i="18" s="1"/>
  <c r="Q178" i="18"/>
  <c r="L178" i="18" s="1"/>
  <c r="BQ145" i="18"/>
  <c r="BP145" i="18" s="1"/>
  <c r="BQ146" i="18"/>
  <c r="BP146" i="18" s="1"/>
  <c r="BQ149" i="18"/>
  <c r="BP149" i="18" s="1"/>
  <c r="BQ148" i="18"/>
  <c r="BP148" i="18" s="1"/>
  <c r="BY146" i="18"/>
  <c r="BX146" i="18" s="1"/>
  <c r="BY145" i="18"/>
  <c r="BX145" i="18" s="1"/>
  <c r="BY148" i="18"/>
  <c r="BX148" i="18" s="1"/>
  <c r="BY149" i="18"/>
  <c r="BX149" i="18" s="1"/>
  <c r="BY147" i="18"/>
  <c r="BX147" i="18" s="1"/>
  <c r="BQ147" i="18"/>
  <c r="BP147" i="18" s="1"/>
  <c r="BF156" i="18"/>
  <c r="BG156" i="18" s="1"/>
  <c r="BF155" i="18"/>
  <c r="BG155" i="18" s="1"/>
  <c r="BF157" i="18"/>
  <c r="BG157" i="18" s="1"/>
  <c r="BF153" i="18"/>
  <c r="BG153" i="18" s="1"/>
  <c r="BF154" i="18"/>
  <c r="BG154" i="18" s="1"/>
  <c r="BV155" i="18" l="1"/>
  <c r="BW155" i="18" s="1"/>
  <c r="BV156" i="18"/>
  <c r="BW156" i="18" s="1"/>
  <c r="BV157" i="18"/>
  <c r="BW157" i="18" s="1"/>
  <c r="BV154" i="18"/>
  <c r="BW154" i="18" s="1"/>
  <c r="BV153" i="18"/>
  <c r="BW153" i="18" s="1"/>
  <c r="BN154" i="18"/>
  <c r="BO154" i="18" s="1"/>
  <c r="BN153" i="18"/>
  <c r="BO153" i="18" s="1"/>
  <c r="BP153" i="18" s="1"/>
  <c r="BN155" i="18"/>
  <c r="BO155" i="18" s="1"/>
  <c r="BN156" i="18"/>
  <c r="BO156" i="18" s="1"/>
  <c r="BN157" i="18"/>
  <c r="BO157" i="18" s="1"/>
  <c r="BH153" i="18"/>
  <c r="BK154" i="18"/>
  <c r="BJ154" i="18"/>
  <c r="BI154" i="18"/>
  <c r="BH154" i="18"/>
  <c r="BK157" i="18"/>
  <c r="BI157" i="18"/>
  <c r="BJ157" i="18"/>
  <c r="BH157" i="18"/>
  <c r="BK153" i="18"/>
  <c r="BI153" i="18"/>
  <c r="BJ153" i="18"/>
  <c r="BJ155" i="18"/>
  <c r="BH155" i="18"/>
  <c r="BK155" i="18"/>
  <c r="BI155" i="18"/>
  <c r="BI156" i="18"/>
  <c r="BH156" i="18"/>
  <c r="BJ156" i="18"/>
  <c r="BK156" i="18"/>
  <c r="CE142" i="18" l="1"/>
  <c r="CF142" i="18" s="1"/>
  <c r="CE145" i="18" s="1"/>
  <c r="CE146" i="18" s="1"/>
  <c r="CI142" i="18"/>
  <c r="CJ142" i="18" s="1"/>
  <c r="CI145" i="18" s="1"/>
  <c r="BQ156" i="18"/>
  <c r="BS156" i="18"/>
  <c r="BP156" i="18"/>
  <c r="BR156" i="18"/>
  <c r="BZ153" i="18"/>
  <c r="BX153" i="18"/>
  <c r="BY153" i="18"/>
  <c r="CA153" i="18"/>
  <c r="BY155" i="18"/>
  <c r="CA155" i="18"/>
  <c r="BX155" i="18"/>
  <c r="BZ155" i="18"/>
  <c r="BQ155" i="18"/>
  <c r="BQ171" i="18" s="1"/>
  <c r="BS155" i="18"/>
  <c r="BS171" i="18" s="1"/>
  <c r="BP155" i="18"/>
  <c r="BR155" i="18"/>
  <c r="BR171" i="18" s="1"/>
  <c r="BO171" i="18"/>
  <c r="BY154" i="18"/>
  <c r="CA154" i="18"/>
  <c r="BX154" i="18"/>
  <c r="BZ154" i="18"/>
  <c r="BR153" i="18"/>
  <c r="BR169" i="18" s="1"/>
  <c r="BQ153" i="18"/>
  <c r="BS153" i="18"/>
  <c r="BO169" i="18"/>
  <c r="BY157" i="18"/>
  <c r="CA157" i="18"/>
  <c r="BX157" i="18"/>
  <c r="BZ157" i="18"/>
  <c r="BQ157" i="18"/>
  <c r="BS157" i="18"/>
  <c r="BP157" i="18"/>
  <c r="BR157" i="18"/>
  <c r="BQ154" i="18"/>
  <c r="BS154" i="18"/>
  <c r="BP154" i="18"/>
  <c r="BP170" i="18" s="1"/>
  <c r="BR154" i="18"/>
  <c r="BO170" i="18"/>
  <c r="BY156" i="18"/>
  <c r="CA156" i="18"/>
  <c r="BX156" i="18"/>
  <c r="BZ156" i="18"/>
  <c r="CI89" i="2"/>
  <c r="B23" i="17" s="1"/>
  <c r="BL77" i="2"/>
  <c r="BK77" i="2"/>
  <c r="CB84" i="2" s="1"/>
  <c r="BP89" i="2"/>
  <c r="BX86" i="2" s="1"/>
  <c r="B28" i="17" s="1"/>
  <c r="AZ119" i="2"/>
  <c r="AY119" i="2"/>
  <c r="BP60" i="2"/>
  <c r="BX60" i="2" s="1"/>
  <c r="BQ69" i="2"/>
  <c r="BP69" i="2"/>
  <c r="BT60" i="2" s="1"/>
  <c r="BK70" i="2"/>
  <c r="BL73" i="2"/>
  <c r="BL72" i="2"/>
  <c r="BL71" i="2"/>
  <c r="BL70" i="2" s="1"/>
  <c r="CF145" i="18" l="1"/>
  <c r="CI146" i="18"/>
  <c r="CJ145" i="18"/>
  <c r="CE147" i="18"/>
  <c r="CF147" i="18" s="1"/>
  <c r="CF146" i="18"/>
  <c r="BS170" i="18"/>
  <c r="BS169" i="18"/>
  <c r="BR170" i="18"/>
  <c r="BP169" i="18"/>
  <c r="BP171" i="18"/>
  <c r="BQ170" i="18"/>
  <c r="BQ169" i="18"/>
  <c r="BX124" i="2"/>
  <c r="D33" i="17" s="1"/>
  <c r="AB66" i="2"/>
  <c r="BZ47" i="2"/>
  <c r="BO164" i="18" l="1"/>
  <c r="CJ146" i="18"/>
  <c r="BR164" i="18" s="1"/>
  <c r="CI147" i="18"/>
  <c r="CJ147" i="18" s="1"/>
  <c r="BW164" i="18" s="1"/>
  <c r="BT45" i="2"/>
  <c r="BJ53" i="2"/>
  <c r="BI53" i="2"/>
  <c r="BH53" i="2"/>
  <c r="BC41" i="2"/>
  <c r="BJ52" i="2" s="1"/>
  <c r="BB41" i="2"/>
  <c r="BI52" i="2" s="1"/>
  <c r="BA41" i="2"/>
  <c r="BH52" i="2" s="1"/>
  <c r="AZ41" i="2"/>
  <c r="BG52" i="2" s="1"/>
  <c r="BJ55" i="2" l="1"/>
  <c r="BJ54" i="2"/>
  <c r="BH55" i="2"/>
  <c r="BH54" i="2"/>
  <c r="BI54" i="2"/>
  <c r="BI55" i="2"/>
  <c r="BZ43" i="2" s="1"/>
  <c r="T48" i="2" s="1"/>
  <c r="BG53" i="2"/>
  <c r="BK53" i="2"/>
  <c r="D61" i="17"/>
  <c r="B58" i="17"/>
  <c r="B57" i="17"/>
  <c r="B60" i="17"/>
  <c r="D62" i="17"/>
  <c r="B54" i="17"/>
  <c r="D51" i="17"/>
  <c r="D39" i="17"/>
  <c r="B39" i="17"/>
  <c r="D38" i="17"/>
  <c r="BY43" i="2" l="1"/>
  <c r="T45" i="2" s="1"/>
  <c r="CA43" i="2"/>
  <c r="T51" i="2" s="1"/>
  <c r="BK55" i="2"/>
  <c r="BK54" i="2"/>
  <c r="BG55" i="2"/>
  <c r="BG54" i="2"/>
  <c r="C50" i="17"/>
  <c r="BX144" i="2"/>
  <c r="CH144" i="2" s="1"/>
  <c r="D34" i="17" s="1"/>
  <c r="F136" i="2"/>
  <c r="F121" i="2"/>
  <c r="D28" i="17"/>
  <c r="BX92" i="2"/>
  <c r="B29" i="17" s="1"/>
  <c r="BX73" i="2"/>
  <c r="CB43" i="2" l="1"/>
  <c r="CJ44" i="2" s="1"/>
  <c r="BX43" i="2"/>
  <c r="CC46" i="2" s="1"/>
  <c r="CH44" i="2" s="1"/>
  <c r="CI91" i="2"/>
  <c r="D23" i="17" s="1"/>
  <c r="BX112" i="2"/>
  <c r="E17" i="17" l="1"/>
  <c r="BL163" i="2"/>
  <c r="BT165" i="2" s="1"/>
  <c r="BZ162" i="2" s="1"/>
  <c r="CA77" i="2"/>
  <c r="CD87" i="2" s="1"/>
  <c r="BK161" i="2"/>
  <c r="BZ58" i="2"/>
  <c r="CB64" i="2" s="1"/>
  <c r="CD64" i="2" s="1"/>
  <c r="CA67" i="2" s="1"/>
  <c r="CA87" i="2" s="1"/>
  <c r="CH112" i="2"/>
  <c r="D15" i="17" s="1"/>
  <c r="B51" i="17"/>
  <c r="T88" i="2" l="1"/>
  <c r="CC81" i="2"/>
  <c r="CC79" i="2" s="1"/>
  <c r="CH80" i="2" s="1"/>
  <c r="E48" i="17"/>
  <c r="E45" i="17"/>
  <c r="B46" i="17"/>
  <c r="C36" i="17"/>
  <c r="C37" i="17" s="1"/>
  <c r="BL132" i="2"/>
  <c r="BX136" i="2" s="1"/>
  <c r="E49" i="17" l="1"/>
  <c r="D50" i="17"/>
  <c r="E50" i="17"/>
  <c r="E38" i="17"/>
  <c r="BX128" i="2"/>
  <c r="CH128" i="2" s="1"/>
  <c r="B34" i="17" s="1"/>
  <c r="BP120" i="2"/>
  <c r="BX121" i="2" s="1"/>
  <c r="BK100" i="2"/>
  <c r="C15" i="17" s="1"/>
  <c r="B24" i="17"/>
  <c r="BX54" i="2"/>
  <c r="CH54" i="2" s="1"/>
  <c r="D18" i="17" s="1"/>
  <c r="BP40" i="2"/>
  <c r="CH50" i="2" s="1"/>
  <c r="CH40" i="2" l="1"/>
  <c r="CJ46" i="2" s="1"/>
  <c r="CH121" i="2"/>
  <c r="C53" i="17"/>
  <c r="C17" i="17" l="1"/>
  <c r="CH42" i="2"/>
  <c r="D37" i="17"/>
  <c r="E54" i="17" l="1"/>
  <c r="D36" i="17"/>
  <c r="C45" i="17"/>
  <c r="BK132" i="2"/>
  <c r="BX135" i="2" s="1"/>
  <c r="BG132" i="2"/>
  <c r="BG116" i="2"/>
  <c r="B38" i="17"/>
  <c r="BZ134" i="2" l="1"/>
  <c r="E31" i="17" s="1"/>
  <c r="E32" i="17" s="1"/>
  <c r="BZ118" i="2"/>
  <c r="C31" i="17" s="1"/>
  <c r="E42" i="17"/>
  <c r="BP61" i="2"/>
  <c r="BT61" i="2"/>
  <c r="BX63" i="2" s="1"/>
  <c r="BL58" i="2"/>
  <c r="BK58" i="2"/>
  <c r="BG58" i="2"/>
  <c r="BZ61" i="2" s="1"/>
  <c r="BL116" i="2"/>
  <c r="BX119" i="2" s="1"/>
  <c r="BK116" i="2"/>
  <c r="BX118" i="2" s="1"/>
  <c r="BQ79" i="2"/>
  <c r="BX80" i="2" s="1"/>
  <c r="B33" i="17" l="1"/>
  <c r="C32" i="17"/>
  <c r="BZ63" i="2"/>
  <c r="C20" i="17"/>
  <c r="B27" i="17"/>
  <c r="BX64" i="2"/>
  <c r="D21" i="17" s="1"/>
  <c r="BX61" i="2"/>
  <c r="B21" i="17" s="1"/>
  <c r="BG77" i="2"/>
  <c r="N77" i="2" s="1"/>
  <c r="CD67" i="2" l="1"/>
  <c r="BX68" i="2" s="1"/>
  <c r="BX66" i="2" s="1"/>
  <c r="CH65" i="2" s="1"/>
  <c r="E20" i="17" s="1"/>
  <c r="CA83" i="2"/>
  <c r="C26" i="17"/>
  <c r="E26" i="17" s="1"/>
  <c r="P70" i="2" l="1"/>
  <c r="N58" i="2"/>
  <c r="CJ48" i="2" l="1"/>
  <c r="Q39" i="2" s="1"/>
  <c r="P198" i="2" l="1"/>
  <c r="P220" i="2"/>
  <c r="P147" i="2"/>
  <c r="P174" i="2"/>
</calcChain>
</file>

<file path=xl/sharedStrings.xml><?xml version="1.0" encoding="utf-8"?>
<sst xmlns="http://schemas.openxmlformats.org/spreadsheetml/2006/main" count="756" uniqueCount="404">
  <si>
    <t xml:space="preserve">Assento em onda com estabilizadores de quadris ajustáveis </t>
  </si>
  <si>
    <t>Estabilizador de cabeça curvo multidirecional</t>
  </si>
  <si>
    <t>Apoio de pés plano ajustável em atura</t>
  </si>
  <si>
    <t>Apoio de braços planos ajustáveis em altura e inclinação</t>
  </si>
  <si>
    <t>Cintos torácico tipo “H” e pélvico em “V”</t>
  </si>
  <si>
    <t>Contra-extensor-abdutor-adutor (CEAA)</t>
  </si>
  <si>
    <t>Mesa de atividades</t>
  </si>
  <si>
    <t>ESCOLHA DO CHASSIS</t>
  </si>
  <si>
    <t>VAZIO</t>
  </si>
  <si>
    <t>CHASSIS TILT</t>
  </si>
  <si>
    <t>CHASSIS CANGURU</t>
  </si>
  <si>
    <t>ESCOLHA DA MODULAÇÃO</t>
  </si>
  <si>
    <t>ESCOLHA DO ENCOSTO</t>
  </si>
  <si>
    <t>PLANO</t>
  </si>
  <si>
    <t>BIOFORMA</t>
  </si>
  <si>
    <t>ERGO</t>
  </si>
  <si>
    <t>PERSONALIZAÇÃO</t>
  </si>
  <si>
    <t>8 X 2,50 X 15</t>
  </si>
  <si>
    <t>10 X 3,0 X 17</t>
  </si>
  <si>
    <t>13 X 3,0 X 20</t>
  </si>
  <si>
    <t>Nesta opção, precisamos que seja especificado a localização</t>
  </si>
  <si>
    <t>16 X 3,0 X 23</t>
  </si>
  <si>
    <t>MEDIDAS
(CM)</t>
  </si>
  <si>
    <t>DIREITO</t>
  </si>
  <si>
    <t>ESQUERDO</t>
  </si>
  <si>
    <t>SEM ESCOLHA</t>
  </si>
  <si>
    <t>ESCOLHA DO ASSENTO</t>
  </si>
  <si>
    <t>ONDA</t>
  </si>
  <si>
    <t>ELEVAÇÃO DO QUADRIL</t>
  </si>
  <si>
    <t>DIFERENÇA NO COMPRIMENTO</t>
  </si>
  <si>
    <t>GRANDE</t>
  </si>
  <si>
    <t>PEQUENO</t>
  </si>
  <si>
    <t>ESCOLHA DO APOIO DE PÉ</t>
  </si>
  <si>
    <t>LOCALIZAÇÃO DO CINTO PÉLVICO</t>
  </si>
  <si>
    <t>CINTO TORÁXICO EM "H"</t>
  </si>
  <si>
    <t xml:space="preserve">   </t>
  </si>
  <si>
    <t>TIPO DE APOIO DE PÉ</t>
  </si>
  <si>
    <t>LOCAL ARTICULAÇÃO
PLANO ARTICULADO</t>
  </si>
  <si>
    <t>MEDIO</t>
  </si>
  <si>
    <t>PADRÃO DE PRODUÇÃO</t>
  </si>
  <si>
    <t>10 X 4,0 X 16</t>
  </si>
  <si>
    <t>12 X 4,0 X 24</t>
  </si>
  <si>
    <t>FICHA DE PRODUÇÃO DE CADEIRA</t>
  </si>
  <si>
    <t>PEDIDO:</t>
  </si>
  <si>
    <t>TO/FISIO:</t>
  </si>
  <si>
    <t>DATA:</t>
  </si>
  <si>
    <t>VENDEDOR:</t>
  </si>
  <si>
    <t>REVENDA:</t>
  </si>
  <si>
    <t>USUÁRIO:</t>
  </si>
  <si>
    <t>CHASSIS:</t>
  </si>
  <si>
    <t>TAMANHO:</t>
  </si>
  <si>
    <t>ENCOSTO:</t>
  </si>
  <si>
    <t>ASSENTO:</t>
  </si>
  <si>
    <t>APOIO PÉ:</t>
  </si>
  <si>
    <t>APOIO BRAÇO:</t>
  </si>
  <si>
    <t>APOIO CABEÇA:</t>
  </si>
  <si>
    <t>OBSERVAÇÕES</t>
  </si>
  <si>
    <t>PRODUÇÃO:</t>
  </si>
  <si>
    <t>PLANEJAMENTO:</t>
  </si>
  <si>
    <t>ACABAMENTO</t>
  </si>
  <si>
    <t>COSTURA</t>
  </si>
  <si>
    <t>____/_____/_____</t>
  </si>
  <si>
    <t>LIBERAÇÃO DA QUALIDADE:</t>
  </si>
  <si>
    <t>ASSINATURA:</t>
  </si>
  <si>
    <t>DATA: ______/_____/______</t>
  </si>
  <si>
    <t>APOIO EM CALHA</t>
  </si>
  <si>
    <t>APOIO FRONTAL</t>
  </si>
  <si>
    <t>CARIMBO
DATA
VISTO</t>
  </si>
  <si>
    <t>CURVO COM APOIO CERVICAL</t>
  </si>
  <si>
    <t>ESCOLHA DO TIPO DE MESA</t>
  </si>
  <si>
    <t>CINTO ABDOMINAL</t>
  </si>
  <si>
    <t>CINTO SUSPENSÓRIO ESCAPULAR</t>
  </si>
  <si>
    <t>LOCALIZAÇÃO VELCRO</t>
  </si>
  <si>
    <t>TIPO APOIO PERNAS</t>
  </si>
  <si>
    <t>ANTE PÉ</t>
  </si>
  <si>
    <t>FAIXA DE VELCRO</t>
  </si>
  <si>
    <t>ASSENTO</t>
  </si>
  <si>
    <t>ENCOSTO</t>
  </si>
  <si>
    <t>ALMOFADA DORSAL / LOMBAR</t>
  </si>
  <si>
    <t>ABDUTOR TRIANGULAR</t>
  </si>
  <si>
    <t>MESA PLASTICA</t>
  </si>
  <si>
    <t>ESCOLHA DO TECIDO</t>
  </si>
  <si>
    <t>CINZA</t>
  </si>
  <si>
    <t>ROXO</t>
  </si>
  <si>
    <t>AZUL ESCURO</t>
  </si>
  <si>
    <t>ESTABIL - TRONCO</t>
  </si>
  <si>
    <t>ESTABIL - QUADRIL</t>
  </si>
  <si>
    <t>EM CAIXA</t>
  </si>
  <si>
    <t xml:space="preserve">TORNOZELO </t>
  </si>
  <si>
    <t>OUTROS MODELOS</t>
  </si>
  <si>
    <t>OBSERVAÇÕES  - COMENTARIOS</t>
  </si>
  <si>
    <t>INSIRA AQUI SEU COMENTARIO</t>
  </si>
  <si>
    <t>OTOBRAS - K2</t>
  </si>
  <si>
    <t>JAGUARIBE - AGILE</t>
  </si>
  <si>
    <t>OTTOBOCK - M0</t>
  </si>
  <si>
    <t>OTTOBOCK - M2</t>
  </si>
  <si>
    <t>OTTOBOCK - M6</t>
  </si>
  <si>
    <t>TIPO DE CHASSIS FORA DE PADRÃO</t>
  </si>
  <si>
    <t>ALTURA DA ESPUMA</t>
  </si>
  <si>
    <t>PERSONALIZAÇÃO DO ASSENTO</t>
  </si>
  <si>
    <t>OUTROS MODELOS DE CHASSIS</t>
  </si>
  <si>
    <t>CURVO</t>
  </si>
  <si>
    <t>ABERTURA PARA PASSAGEM DO CINTO</t>
  </si>
  <si>
    <t>PERSONALIZAÇÃO 
APOIO INDEPENDENTE</t>
  </si>
  <si>
    <r>
      <t xml:space="preserve">ARTICULAÇÃO
 APENAS NO </t>
    </r>
    <r>
      <rPr>
        <u/>
        <sz val="11"/>
        <color rgb="FFFF0000"/>
        <rFont val="Calibri"/>
        <family val="2"/>
        <scheme val="minor"/>
      </rPr>
      <t>JOELHO</t>
    </r>
  </si>
  <si>
    <r>
      <t xml:space="preserve">ARTICULAÇÃO
 NO </t>
    </r>
    <r>
      <rPr>
        <b/>
        <u/>
        <sz val="11"/>
        <color rgb="FF0000FF"/>
        <rFont val="Calibri"/>
        <family val="2"/>
        <scheme val="minor"/>
      </rPr>
      <t>JOELHO</t>
    </r>
    <r>
      <rPr>
        <sz val="11"/>
        <color theme="1"/>
        <rFont val="Calibri"/>
        <family val="2"/>
        <scheme val="minor"/>
      </rPr>
      <t xml:space="preserve">   E   NO </t>
    </r>
    <r>
      <rPr>
        <b/>
        <u/>
        <sz val="11"/>
        <color rgb="FF0000FF"/>
        <rFont val="Calibri"/>
        <family val="2"/>
        <scheme val="minor"/>
      </rPr>
      <t>TORNOZELO</t>
    </r>
  </si>
  <si>
    <t>ESCOLHA DO ESTABILIZADOR DE TRONCO</t>
  </si>
  <si>
    <t>ESCOLHA DO ESTABILIZADOR DE QUADRIL</t>
  </si>
  <si>
    <t>ITENS ADICIONAIS PARA O APOIO DE PÉ</t>
  </si>
  <si>
    <t>ESCOLHA DO APOIO DE BRAÇO</t>
  </si>
  <si>
    <t>ESCOLHA DO APOIO DE CABEÇA</t>
  </si>
  <si>
    <r>
      <t xml:space="preserve">ESCOLHA DO CINTO PARA </t>
    </r>
    <r>
      <rPr>
        <b/>
        <u/>
        <sz val="16"/>
        <color rgb="FFFF0000"/>
        <rFont val="Consolas"/>
        <family val="3"/>
      </rPr>
      <t>TRONCO</t>
    </r>
  </si>
  <si>
    <r>
      <t xml:space="preserve">ESCOLHA DO CINTO PARA </t>
    </r>
    <r>
      <rPr>
        <b/>
        <u/>
        <sz val="16"/>
        <color rgb="FFFF0000"/>
        <rFont val="Consolas"/>
        <family val="3"/>
      </rPr>
      <t>QUADRIL</t>
    </r>
  </si>
  <si>
    <t>ESCOLHA DOS ACESSÓRIOS FINAIS</t>
  </si>
  <si>
    <t>P.A.D.</t>
  </si>
  <si>
    <t>MADEIRA</t>
  </si>
  <si>
    <t>INDEPENDENTE</t>
  </si>
  <si>
    <t>ARTICULADO</t>
  </si>
  <si>
    <t>BI-ARTICULADO</t>
  </si>
  <si>
    <t>TAMANHO DO APOIO FRONTAL</t>
  </si>
  <si>
    <t>APOIO DE BRAÇO</t>
  </si>
  <si>
    <t>CINTO PEITORAL</t>
  </si>
  <si>
    <t>CINTO PÉLVICO EM "V" (PORTUGAL)</t>
  </si>
  <si>
    <t>CINTO PÉLVICO SOLTO (FRALDÃO)</t>
  </si>
  <si>
    <t>MESA DE MADEIRA - SEM BORDA</t>
  </si>
  <si>
    <t>MESA DE MADEIRA - COM BORDA</t>
  </si>
  <si>
    <t>ITEM QUE RECEBERÁ A CAPA ADICIONAL</t>
  </si>
  <si>
    <t>MENCIONE O ITEM QUE TERÁ 
A CAPA ADICIONAL SOLICITADA</t>
  </si>
  <si>
    <t>RESTRINGIDOR DE TAMANHO</t>
  </si>
  <si>
    <t>PEQUENO - 15  X  10</t>
  </si>
  <si>
    <t>GRANDE - 20  X  15</t>
  </si>
  <si>
    <t>COR DO TECIDO:</t>
  </si>
  <si>
    <t>OBS</t>
  </si>
  <si>
    <t>INCLUIR CONTRA EXTENSOR</t>
  </si>
  <si>
    <t>INCLUIR ACETABULO INDEPENDENTE</t>
  </si>
  <si>
    <t>HABILITAR OUTROS MODELOS</t>
  </si>
  <si>
    <t xml:space="preserve"> -  DE LARGURA NO CORTE DO RASGO</t>
  </si>
  <si>
    <t>INCLUIR ESPUMA VISCO ELÁSTICA NO ENCOSTO</t>
  </si>
  <si>
    <t>MODULAÇÃO</t>
  </si>
  <si>
    <t>INSERIR PLANO EM P.A.D.</t>
  </si>
  <si>
    <t>EM CALHA</t>
  </si>
  <si>
    <t>COM PLACA EM P.A.D.</t>
  </si>
  <si>
    <t>INSERIR FAIXA PARA ANTE-BRAÇO E PUNHO</t>
  </si>
  <si>
    <t>NO LADO DIREITO</t>
  </si>
  <si>
    <t>NO LADO ESQUERDO</t>
  </si>
  <si>
    <t>MESA</t>
  </si>
  <si>
    <t>SEM MESA</t>
  </si>
  <si>
    <t xml:space="preserve"> </t>
  </si>
  <si>
    <t>34   -   (40CM  X 50CM)</t>
  </si>
  <si>
    <t>36-40   -  (60CM X 60CM)</t>
  </si>
  <si>
    <t>44 - 46  -  (70CM X 70CM)</t>
  </si>
  <si>
    <t>OBSERVAÇÕES    -    ACESSÓRIOS FINAIS</t>
  </si>
  <si>
    <t xml:space="preserve">ESTABILIZADOR ADICIONAL                    DO LADO  </t>
  </si>
  <si>
    <t>MODULAÇÃO ESCOLHIDA ASSENTO</t>
  </si>
  <si>
    <t>USAR MODULAÇÃO MISTA</t>
  </si>
  <si>
    <t>SOMENTE MODELO BIOFORMA</t>
  </si>
  <si>
    <t>MEDIDA PADRÃO ALMOFADA  = &gt;  7 CM</t>
  </si>
  <si>
    <t>INSERIR MEDIDA DESEJADA ALMOFADA</t>
  </si>
  <si>
    <t>FERRAGEM APOIO CABEÇA</t>
  </si>
  <si>
    <t>BENGALA DO ENCOSTO</t>
  </si>
  <si>
    <t>FERRAGEM ASSENTO</t>
  </si>
  <si>
    <t>LARG</t>
  </si>
  <si>
    <t>ALT</t>
  </si>
  <si>
    <t>PESO</t>
  </si>
  <si>
    <t>TAMANHO</t>
  </si>
  <si>
    <t>2"</t>
  </si>
  <si>
    <t>3"</t>
  </si>
  <si>
    <t>5"</t>
  </si>
  <si>
    <t>COMPRIMENTO</t>
  </si>
  <si>
    <t>15 X 10</t>
  </si>
  <si>
    <t>20 X 15</t>
  </si>
  <si>
    <t>INCLUIR RESTRINGIDOR DE OMBRO</t>
  </si>
  <si>
    <t>RETIRAR O PLUMANTE DO ENCOSTO ERGO ENVOLVENTE</t>
  </si>
  <si>
    <r>
      <t xml:space="preserve">CINTO DE FIXAÇÃO
DE  </t>
    </r>
    <r>
      <rPr>
        <b/>
        <u/>
        <sz val="11"/>
        <color rgb="FFFF0000"/>
        <rFont val="Arial"/>
        <family val="2"/>
      </rPr>
      <t>QUADRIL</t>
    </r>
  </si>
  <si>
    <r>
      <t xml:space="preserve">CINTO DE FIXAÇÃO
DE  </t>
    </r>
    <r>
      <rPr>
        <b/>
        <u/>
        <sz val="11"/>
        <color rgb="FFFF0000"/>
        <rFont val="Arial"/>
        <family val="2"/>
      </rPr>
      <t>TRONCO</t>
    </r>
  </si>
  <si>
    <t>TAMANHO DO CINTO</t>
  </si>
  <si>
    <t>TAMANHO PEQUENO</t>
  </si>
  <si>
    <t>TAMANHO GRANDE</t>
  </si>
  <si>
    <t>SEM CINTO</t>
  </si>
  <si>
    <t>INSIRA SEU NOME AQUI</t>
  </si>
  <si>
    <t>INSIRA SUA REVENDA</t>
  </si>
  <si>
    <t>INSIRA SEU CONTATO NA EXPANSÃO</t>
  </si>
  <si>
    <t>DATA</t>
  </si>
  <si>
    <t>INSIRA O NOME DA    T.O.  /  FISIO</t>
  </si>
  <si>
    <t>LOCALIDADE</t>
  </si>
  <si>
    <t>ESCREVA AQUI SEU O NOME DO CHASSIS</t>
  </si>
  <si>
    <t>MODULAÇÃO ESCOLHIDA ENCOSTO</t>
  </si>
  <si>
    <t>ESCLARECIMENTO</t>
  </si>
  <si>
    <t>INFORMAÇÃO:  
O APOIO INDEPENDENTE PODE SER:</t>
  </si>
  <si>
    <t>TAMANHO  MEDIO</t>
  </si>
  <si>
    <t>TAMANHO  GRANDE</t>
  </si>
  <si>
    <t>INFORMAÇÃO:  
OS APOIOS PLANOS (ESTREITO E LARGO) E O APOIO EM CALHA SÃO TAMANHO ÚNICO - UNIVERSAL</t>
  </si>
  <si>
    <t>ÚNICO</t>
  </si>
  <si>
    <t>TAMANHO DO APOIO BIOFORMA</t>
  </si>
  <si>
    <t>TAMANHO DO HASTE CURVO</t>
  </si>
  <si>
    <t>TAMANHO DO APOIO CURVO</t>
  </si>
  <si>
    <t>TAMANHO DO APOIO CERVICAL</t>
  </si>
  <si>
    <t>.</t>
  </si>
  <si>
    <t>ESCAPULAR</t>
  </si>
  <si>
    <t>PÉLVICO</t>
  </si>
  <si>
    <t>CM</t>
  </si>
  <si>
    <r>
      <rPr>
        <u/>
        <sz val="24"/>
        <color theme="1"/>
        <rFont val="Calibri"/>
        <family val="2"/>
        <scheme val="minor"/>
      </rPr>
      <t>SUGESTÃO DE MODULAÇÃO</t>
    </r>
    <r>
      <rPr>
        <sz val="11"/>
        <color theme="1"/>
        <rFont val="Calibri"/>
        <family val="2"/>
        <scheme val="minor"/>
      </rPr>
      <t xml:space="preserve">
(BASEADO NAS MEDIDAS INFORMADAS)</t>
    </r>
  </si>
  <si>
    <t>1.ª OPÇÃO</t>
  </si>
  <si>
    <t>2.ª OPÇÃO</t>
  </si>
  <si>
    <t>QUAL É A FOLGA???</t>
  </si>
  <si>
    <t>LARGURA 
DO QUADRIL</t>
  </si>
  <si>
    <t>LARGURA 
DO TRONCO</t>
  </si>
  <si>
    <t>PROFUNDIDADE
DO ASSENTO</t>
  </si>
  <si>
    <t>ALTURA
 DO ENCOSTO</t>
  </si>
  <si>
    <t>LARGURA QUADRIL</t>
  </si>
  <si>
    <t>PROFUNDIDADE ASSENTO</t>
  </si>
  <si>
    <t>LARGURA   TRONCO</t>
  </si>
  <si>
    <t>ALTURA DO ENCOSTO</t>
  </si>
  <si>
    <t>Busque Criar Modulações Padronizadas:</t>
  </si>
  <si>
    <t>Encosto plano rígido com estabilizadores laterais de tronco curvos ajustáveis</t>
  </si>
  <si>
    <t>Exemplo:</t>
  </si>
  <si>
    <t>TILT</t>
  </si>
  <si>
    <t>CANGURU</t>
  </si>
  <si>
    <r>
      <rPr>
        <b/>
        <u/>
        <sz val="12"/>
        <color rgb="FF0000FF"/>
        <rFont val="Calibri"/>
        <family val="2"/>
        <scheme val="minor"/>
      </rPr>
      <t>Caro Sr. FISIOTERAPEUTA   /    T. O.</t>
    </r>
    <r>
      <rPr>
        <sz val="12"/>
        <color rgb="FF0000FF"/>
        <rFont val="Calibri"/>
        <family val="2"/>
        <scheme val="minor"/>
      </rPr>
      <t xml:space="preserve">
O sucesso na prescrição de nossa cadeira dependerá EXCLUSIVAMENTE da </t>
    </r>
    <r>
      <rPr>
        <u/>
        <sz val="12"/>
        <color rgb="FF0000FF"/>
        <rFont val="Calibri"/>
        <family val="2"/>
        <scheme val="minor"/>
      </rPr>
      <t>precisão de sua tomada de medidas no paciente.</t>
    </r>
    <r>
      <rPr>
        <sz val="12"/>
        <color rgb="FF0000FF"/>
        <rFont val="Calibri"/>
        <family val="2"/>
        <scheme val="minor"/>
      </rPr>
      <t xml:space="preserve">
Em caso de duvidas, encaminhe uma  foto do paciente aos cuidados de nossos fisioterapeutas juntamente com suas medidas.tomadas do paciente.</t>
    </r>
  </si>
  <si>
    <t>tamanho assento</t>
  </si>
  <si>
    <t>assento</t>
  </si>
  <si>
    <t>TAMANHO MAXIMO</t>
  </si>
  <si>
    <t>INFELIZMENTE, A MODULAÇÃO ESCOLHIDA 
NÃO COMPORTA NO CHASSIS ESCOLHIDO. 
POR FAVOR, ESCOLHA UMA MODULAÇÃO MENOR DE ASSENTO 
OU AUMENTE O TAMANHO DO CHASSIS ESCOLHIDO ANTERIORMENTE</t>
  </si>
  <si>
    <t>CONTRA EXTENSOR SOLICITADO</t>
  </si>
  <si>
    <t>ESTA OPÇÃO NÃO ESTÁ DISPONIVEL POIS O ESPAÇO NA CADEIRA JÁ ESTÁ OCUPADO PELO CONTRA-EXTENSOR</t>
  </si>
  <si>
    <t>IMCOMPATIVEL</t>
  </si>
  <si>
    <t>TIPO DE CINTO DE TRONCO</t>
  </si>
  <si>
    <t>CINTO PÉLVICO DE PONTO FIXO</t>
  </si>
  <si>
    <t>FIXAÇÃO EXTRA</t>
  </si>
  <si>
    <t>FIXAÇÃO EXTRA:</t>
  </si>
  <si>
    <t>TAMANHO APOIO INDEPENDENTE</t>
  </si>
  <si>
    <t>TAMANHO MISTO INDEPENDENTE</t>
  </si>
  <si>
    <t>CHASSIS ESCOLHIDO</t>
  </si>
  <si>
    <t>MÉDIO</t>
  </si>
  <si>
    <t>JOELHO</t>
  </si>
  <si>
    <t>JOELHO + TORNOZELO</t>
  </si>
  <si>
    <t>CINTO CONTRA FLEXÃO (BORBOLETA)</t>
  </si>
  <si>
    <t>11 X 4,0 X 20</t>
  </si>
  <si>
    <t>MEDIDAS DA FAIXA DE VELCRO</t>
  </si>
  <si>
    <t>TORNOZELO</t>
  </si>
  <si>
    <t>TEM FAIXA</t>
  </si>
  <si>
    <t>QUAL FAIXA</t>
  </si>
  <si>
    <t>LOCAL FAIXA</t>
  </si>
  <si>
    <t xml:space="preserve">NO TORNOZELO  =&gt;  </t>
  </si>
  <si>
    <t xml:space="preserve">NO ANTE PÉ  =&gt;  </t>
  </si>
  <si>
    <t xml:space="preserve">INSERIR FAIXA DE FIXAÇÃO  </t>
  </si>
  <si>
    <t>FUNÇÃO ADUTORA</t>
  </si>
  <si>
    <t>FUNÇÃO ABDUTORA</t>
  </si>
  <si>
    <t>INCLUSÃO DE FAIXA PARA PERNAS COM</t>
  </si>
  <si>
    <t>FERRAGEM APOIO BRAÇOS</t>
  </si>
  <si>
    <t>FERRAGEM APOIO PÉS</t>
  </si>
  <si>
    <t>CINTO PÉLVICO EM "T" (CHEGA JUNTO)</t>
  </si>
  <si>
    <t>INSIRA AQUI SEU ITEM ADICIONAL</t>
  </si>
  <si>
    <t>TAMANHO PROTETOR "PLUS"</t>
  </si>
  <si>
    <t>TIPO PROTETOR "PLUS"</t>
  </si>
  <si>
    <t>INSIRA O NOME DO ITEM COM CAPA</t>
  </si>
  <si>
    <t>MAIOR 21</t>
  </si>
  <si>
    <t>???</t>
  </si>
  <si>
    <t>MOSTRAR</t>
  </si>
  <si>
    <t>NÃO MOSTRAR</t>
  </si>
  <si>
    <t>MAIOR</t>
  </si>
  <si>
    <t>MENOR</t>
  </si>
  <si>
    <r>
      <t xml:space="preserve">CONDIÇÃO
</t>
    </r>
    <r>
      <rPr>
        <b/>
        <u/>
        <sz val="22"/>
        <color rgb="FFFF0000"/>
        <rFont val="Calibri"/>
        <family val="2"/>
        <scheme val="minor"/>
      </rPr>
      <t>JUSTA</t>
    </r>
  </si>
  <si>
    <r>
      <t xml:space="preserve">CONDIÇÃO
</t>
    </r>
    <r>
      <rPr>
        <b/>
        <u/>
        <sz val="22"/>
        <color rgb="FFFF0000"/>
        <rFont val="Calibri"/>
        <family val="2"/>
        <scheme val="minor"/>
      </rPr>
      <t>FOLGADA</t>
    </r>
  </si>
  <si>
    <t>Mais</t>
  </si>
  <si>
    <t>Menos</t>
  </si>
  <si>
    <t>MEDIDAS ALEATORIAS</t>
  </si>
  <si>
    <t>MEDIDAS JUSTAS</t>
  </si>
  <si>
    <t>MEDIDAS FOLGADAS</t>
  </si>
  <si>
    <t>3.ª OPÇÃO</t>
  </si>
  <si>
    <t>MASC</t>
  </si>
  <si>
    <t>FEMIN</t>
  </si>
  <si>
    <t>MENINO</t>
  </si>
  <si>
    <t>JUSTA</t>
  </si>
  <si>
    <t>FOLGADA</t>
  </si>
  <si>
    <t>MENINA</t>
  </si>
  <si>
    <t>PELA IDADE</t>
  </si>
  <si>
    <t>PELO GENERO</t>
  </si>
  <si>
    <t>IMPORTANTE</t>
  </si>
  <si>
    <t>QUALIDADE APOIO PERNAS</t>
  </si>
  <si>
    <t>BIOFORMA HASTE DO CURVO</t>
  </si>
  <si>
    <t xml:space="preserve">ABERTURA DE PASSAGEM DO CINTO NO ENCOSTO COM          -         </t>
  </si>
  <si>
    <t>INCLUIR REDUTOR DE PROFUNDIDADE NO ENCOSTO</t>
  </si>
  <si>
    <t>VERSÃO "SIMPLES"</t>
  </si>
  <si>
    <t>VERSÃO "ESPECIAL"</t>
  </si>
  <si>
    <t>CINTO BABADOR</t>
  </si>
  <si>
    <t>SIMPLES</t>
  </si>
  <si>
    <t>ESPECIAL</t>
  </si>
  <si>
    <t>REVESTIMENTO</t>
  </si>
  <si>
    <t>EM ESPUMA</t>
  </si>
  <si>
    <t>EM VISCO ELASTICO</t>
  </si>
  <si>
    <t>ABDUTOR TRIANGULAR EM E.V.A.</t>
  </si>
  <si>
    <t>ABDUTOR EM ESPUMA + CINTO COM VELCRO</t>
  </si>
  <si>
    <t>MATERIAL DA CAPA ADICIONAL</t>
  </si>
  <si>
    <t>INCLUIR  FECHO HUZI</t>
  </si>
  <si>
    <t>DISPOSITIVO ANTI-QUEDA</t>
  </si>
  <si>
    <t>PÉLVICO+ESCAPULAR</t>
  </si>
  <si>
    <t xml:space="preserve">PROTETOR PLUS (SORVETE)  </t>
  </si>
  <si>
    <t>1.ª DESCARTE</t>
  </si>
  <si>
    <t>2.ª DESCARTE</t>
  </si>
  <si>
    <t>3.ª DESCARTE</t>
  </si>
  <si>
    <t>TOMADO AQUI AS</t>
  </si>
  <si>
    <t>MEDIDAS REFERENTES</t>
  </si>
  <si>
    <t>LARG  TOTAL DO ASSENTO</t>
  </si>
  <si>
    <t>ABERTURA ESTAB. TRONCO</t>
  </si>
  <si>
    <t>LEITO</t>
  </si>
  <si>
    <t>TRANSFORM</t>
  </si>
  <si>
    <t>"P"  -  PEQUENO</t>
  </si>
  <si>
    <t>"M"  -  MEDIO</t>
  </si>
  <si>
    <t>"G"  -   GRANDE</t>
  </si>
  <si>
    <t>ESCOLHA DO TAMANHO  DO CHASSIS  =&gt;</t>
  </si>
  <si>
    <t>INFELIZMENTE, A MODULAÇÃO ESCOLHIDA 
NÃO COMPORTA NO CHASSIS ESCOLHIDO. 
POR FAVOR, ESCOLHA UMA MODULAÇÃO MENOR DE ENCOSTO 
OU AUMENTE O TAMANHO DO CHASSIS ESCOLHIDO ANTERIORMENTE</t>
  </si>
  <si>
    <t>MODULAÇÃO ESCOLHIDA NA CADEIRA  =&gt;</t>
  </si>
  <si>
    <r>
      <rPr>
        <b/>
        <u/>
        <sz val="20"/>
        <color theme="1"/>
        <rFont val="Calibri"/>
        <family val="2"/>
        <scheme val="minor"/>
      </rPr>
      <t xml:space="preserve">NOME </t>
    </r>
    <r>
      <rPr>
        <sz val="16"/>
        <color theme="1"/>
        <rFont val="Calibri"/>
        <family val="2"/>
        <scheme val="minor"/>
      </rPr>
      <t xml:space="preserve">
DO PACIENTE</t>
    </r>
  </si>
  <si>
    <r>
      <rPr>
        <b/>
        <u/>
        <sz val="20"/>
        <color theme="1"/>
        <rFont val="Calibri"/>
        <family val="2"/>
        <scheme val="minor"/>
      </rPr>
      <t xml:space="preserve">SEXO </t>
    </r>
    <r>
      <rPr>
        <sz val="16"/>
        <color theme="1"/>
        <rFont val="Calibri"/>
        <family val="2"/>
        <scheme val="minor"/>
      </rPr>
      <t xml:space="preserve">
DO PACIENTE</t>
    </r>
  </si>
  <si>
    <r>
      <rPr>
        <b/>
        <u/>
        <sz val="20"/>
        <color theme="1"/>
        <rFont val="Calibri"/>
        <family val="2"/>
        <scheme val="minor"/>
      </rPr>
      <t xml:space="preserve">IDADE </t>
    </r>
    <r>
      <rPr>
        <sz val="16"/>
        <color theme="1"/>
        <rFont val="Calibri"/>
        <family val="2"/>
        <scheme val="minor"/>
      </rPr>
      <t xml:space="preserve">
DO PACIENTE</t>
    </r>
  </si>
  <si>
    <t>DADOS  -  DIMENSÕES TOMADAS DO PACIENTE   -   PREENCHIMENTO OBRIGATÓRIO</t>
  </si>
  <si>
    <t>QUAL É A 
FOLGA???</t>
  </si>
  <si>
    <t>2 CM</t>
  </si>
  <si>
    <t>3 CM</t>
  </si>
  <si>
    <t>5 CM</t>
  </si>
  <si>
    <t>20 mm</t>
  </si>
  <si>
    <t>30 mm</t>
  </si>
  <si>
    <t>50 mm</t>
  </si>
  <si>
    <r>
      <t xml:space="preserve">ESTE ACESSÓRIO É VETADO DE UTILIZAÇÃO EM CONJUNTO COM O ENCOSTOS: 
</t>
    </r>
    <r>
      <rPr>
        <u/>
        <sz val="14"/>
        <color rgb="FFFF0000"/>
        <rFont val="Calibri"/>
        <family val="2"/>
        <scheme val="minor"/>
      </rPr>
      <t xml:space="preserve">* </t>
    </r>
    <r>
      <rPr>
        <b/>
        <u/>
        <sz val="14"/>
        <color rgb="FFFF0000"/>
        <rFont val="Calibri"/>
        <family val="2"/>
        <scheme val="minor"/>
      </rPr>
      <t>BIOFORMA
* PLANO (MAIOR)</t>
    </r>
  </si>
  <si>
    <t>PARA QUE VOCÊ POSSA UTILIZAR ESTABILIZADOR DE TRONCO, SERÁ NECESSARIO TROCAR A OPÇÃO DE ENCOSTO QUE FOI ESCOLHIDA NAS OPÇÕES ANTERIORES</t>
  </si>
  <si>
    <t>SEM ESTABILIZADOR</t>
  </si>
  <si>
    <t>CASO NÃO EXISTA NA LISTA ACIMA, 
ESCREVA NO QUADRO ABAIXO</t>
  </si>
  <si>
    <t>Sujeito a confirmação de 
DISPONIBILIDADE  e  COMPATIBILIDADE</t>
  </si>
  <si>
    <r>
      <t xml:space="preserve">ESTA MEDIDA É TOMADA:
 DA BASE DO ASSENTO ATÉ 
A ALTURA DOS OMBROS     
</t>
    </r>
    <r>
      <rPr>
        <b/>
        <u/>
        <sz val="12"/>
        <color rgb="FFFF0000"/>
        <rFont val="Calibri"/>
        <family val="2"/>
        <scheme val="minor"/>
      </rPr>
      <t>(DE BAIXO PARA CIMA)</t>
    </r>
  </si>
  <si>
    <t>INSERIR MEDIDA  -&gt;</t>
  </si>
  <si>
    <t>"</t>
  </si>
  <si>
    <t>"PORTUGAL"</t>
  </si>
  <si>
    <t>"BORBOLETA"</t>
  </si>
  <si>
    <t>"CHEGA JUNTO"</t>
  </si>
  <si>
    <t>"FRALDÃO"</t>
  </si>
  <si>
    <t>OTOBRAS - ULX</t>
  </si>
  <si>
    <t>"PP" -  MICRO</t>
  </si>
  <si>
    <t>COMPENSAÇÃO DO APOIO COM PLACA EM  E.V.A.</t>
  </si>
  <si>
    <t>(PROTETOR DE CINTOS DE SEGURANÇA)</t>
  </si>
  <si>
    <t>FAIXA ACETINADA PARA CINTOS</t>
  </si>
  <si>
    <t>SEM ABDUTOR</t>
  </si>
  <si>
    <t>DIA</t>
  </si>
  <si>
    <t>MÊS</t>
  </si>
  <si>
    <t>ANO</t>
  </si>
  <si>
    <t>INSERIR DATA</t>
  </si>
  <si>
    <t>MODELO DA CADEIRA</t>
  </si>
  <si>
    <t>MENCIONE O MODELO DE CADEIRA A ADQUIRIR</t>
  </si>
  <si>
    <t>** OPCIONAL**      -    ESTA É  APENAS UMA INFORMAÇÃO ORIENTATIVA PARA O SETOR DE VENDAS</t>
  </si>
  <si>
    <r>
      <t xml:space="preserve">ESTA FICHA DE PRESCRIÇÃO É DESTINADA APENAS PARA CADEIRAS DE </t>
    </r>
    <r>
      <rPr>
        <b/>
        <u/>
        <sz val="11"/>
        <color rgb="FFFF0000"/>
        <rFont val="Arial"/>
        <family val="2"/>
      </rPr>
      <t>ADULTOS</t>
    </r>
    <r>
      <rPr>
        <sz val="11"/>
        <color theme="1"/>
        <rFont val="Arial"/>
        <family val="2"/>
      </rPr>
      <t>.</t>
    </r>
  </si>
  <si>
    <r>
      <rPr>
        <i/>
        <sz val="14"/>
        <color rgb="FF0000FF"/>
        <rFont val="Calibri"/>
        <family val="2"/>
        <scheme val="minor"/>
      </rPr>
      <t>MOBI KIDS  -  BUGGY KIDS  -  MOBI BABY  -  CONCHA BABY</t>
    </r>
    <r>
      <rPr>
        <i/>
        <sz val="11"/>
        <color rgb="FF0000FF"/>
        <rFont val="Calibri"/>
        <family val="2"/>
        <scheme val="minor"/>
      </rPr>
      <t xml:space="preserve">
TERÃO FICHA DE PRESCRIÇÃO ESPECIFICA A SER DISPONIBILIZADA PARA O ANO DE 2017</t>
    </r>
  </si>
  <si>
    <t>MOBI KIDS</t>
  </si>
  <si>
    <t>BUGGY KIDS</t>
  </si>
  <si>
    <t>MOBI BABY</t>
  </si>
  <si>
    <t>CADEIRA ADULTO</t>
  </si>
  <si>
    <t>CADEIRA INFANTIL</t>
  </si>
  <si>
    <t>"AX2"</t>
  </si>
  <si>
    <t>"AX20"</t>
  </si>
  <si>
    <t>ERGOENVOLVENTE</t>
  </si>
  <si>
    <t>PRODUTO OBJETIVADO 
PELO CLIENTE</t>
  </si>
  <si>
    <t>BIOFORMA COM VELCRO</t>
  </si>
  <si>
    <t>CURVO COM ORELHAS</t>
  </si>
  <si>
    <t>TAMANHO COM ORELHAS</t>
  </si>
  <si>
    <t>COM ORELHAS</t>
  </si>
  <si>
    <t>CURVIM SEM ROUPA</t>
  </si>
  <si>
    <t>CURVIM + ROUPAGEM</t>
  </si>
  <si>
    <t>FALTA ESCOLHER TIPO DE TECIDO</t>
  </si>
  <si>
    <t>LOCAL</t>
  </si>
  <si>
    <t>CONTATO EXPANSÃO</t>
  </si>
  <si>
    <t>FISIO / T.O. EXPANSÃO</t>
  </si>
  <si>
    <t>NOME</t>
  </si>
  <si>
    <t>REVENDA</t>
  </si>
  <si>
    <t>INSIRA AQUI O NOME DO PACIENTE DIMENSIONADO</t>
  </si>
  <si>
    <t>TRIFLEX BABY</t>
  </si>
  <si>
    <t>AX2</t>
  </si>
  <si>
    <t>APOIO PERNA EM P.A.D.</t>
  </si>
  <si>
    <t>APOIO PERNA EM MADEIRA</t>
  </si>
  <si>
    <t>APOIO PLANO</t>
  </si>
  <si>
    <t>APOIO MOBI (LARGO)</t>
  </si>
  <si>
    <t>DIA DA SEMANA</t>
  </si>
  <si>
    <t>SEG</t>
  </si>
  <si>
    <t>TER</t>
  </si>
  <si>
    <t>QUA</t>
  </si>
  <si>
    <t>QUI</t>
  </si>
  <si>
    <t>SEX</t>
  </si>
  <si>
    <t>SAB</t>
  </si>
  <si>
    <t>DOM</t>
  </si>
  <si>
    <t>DIA SEMANA</t>
  </si>
  <si>
    <t>SOMA</t>
  </si>
  <si>
    <t>Largura Chassis Aberto</t>
  </si>
  <si>
    <t>Altura Min. Chão</t>
  </si>
  <si>
    <t>Peso apenas Chassis</t>
  </si>
  <si>
    <t>LARGURA 
TOTAL DO
 ASSENTO</t>
  </si>
  <si>
    <t>LARGURA 
TOTAL DO
 ENCOSTO</t>
  </si>
  <si>
    <t>CINTO PÉLVICO EM "Y" (TRIANGULAR)</t>
  </si>
  <si>
    <t>FALTA ESCOLHER</t>
  </si>
  <si>
    <t>CADEIRA REFORÇADA NA:</t>
  </si>
  <si>
    <t>TAMANHO DO APOIO DE CABEÇA</t>
  </si>
  <si>
    <t>APOIO PESCOÇO</t>
  </si>
  <si>
    <t>CONTROLE DO CLIENTE</t>
  </si>
  <si>
    <t>NÚMERO DE PEDIDO INTERNO EXPANSÃO</t>
  </si>
  <si>
    <t>NÚMERO PEDIDO EXPANSÃO</t>
  </si>
  <si>
    <t>Prazo IDEAL para Produção</t>
  </si>
  <si>
    <r>
      <rPr>
        <b/>
        <sz val="8"/>
        <color rgb="FFFF0000"/>
        <rFont val="Arial"/>
        <family val="2"/>
      </rPr>
      <t>"Preenchimento EXPANSÃO"</t>
    </r>
    <r>
      <rPr>
        <b/>
        <sz val="8"/>
        <rFont val="Arial"/>
        <family val="2"/>
      </rPr>
      <t xml:space="preserve">
PRAZO ACORDADO com o CLIENTE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</si>
</sst>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\ &quot;CM&quot;"/>
    <numFmt numFmtId="165" formatCode="dd/mm/yy;@"/>
    <numFmt numFmtId="166" formatCode="0.0\ &quot;KG&quot;"/>
    <numFmt numFmtId="167" formatCode="0.0\ &quot;mm&quot;"/>
    <numFmt numFmtId="168" formatCode="0\ &quot;CM&quot;"/>
    <numFmt numFmtId="169" formatCode="0.0"/>
  </numFmts>
  <fonts count="1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u/>
      <sz val="11"/>
      <color rgb="FFFF0000"/>
      <name val="Consolas"/>
      <family val="3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i/>
      <u/>
      <sz val="11"/>
      <color rgb="FF0000FF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8"/>
      <color rgb="FF000000"/>
      <name val="Segoe UI"/>
      <family val="2"/>
    </font>
    <font>
      <sz val="10"/>
      <color theme="1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2"/>
      <color rgb="FF0000FF"/>
      <name val="Arial"/>
      <family val="2"/>
    </font>
    <font>
      <b/>
      <sz val="11"/>
      <name val="Arial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Arial"/>
      <family val="2"/>
    </font>
    <font>
      <b/>
      <sz val="11"/>
      <color rgb="FF0000FF"/>
      <name val="Arial"/>
      <family val="2"/>
    </font>
    <font>
      <b/>
      <i/>
      <sz val="11"/>
      <color rgb="FFFF0000"/>
      <name val="Calibri"/>
      <family val="2"/>
      <scheme val="minor"/>
    </font>
    <font>
      <i/>
      <sz val="9"/>
      <color rgb="FF0000FF"/>
      <name val="Arial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4"/>
      <color rgb="FFFF0000"/>
      <name val="Consolas"/>
      <family val="3"/>
    </font>
    <font>
      <u/>
      <sz val="11"/>
      <color rgb="FFFF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u/>
      <sz val="16"/>
      <name val="Consolas"/>
      <family val="3"/>
    </font>
    <font>
      <i/>
      <sz val="11"/>
      <color rgb="FFFF0000"/>
      <name val="Calibri"/>
      <family val="2"/>
      <scheme val="minor"/>
    </font>
    <font>
      <b/>
      <u/>
      <sz val="16"/>
      <color rgb="FFFF0000"/>
      <name val="Consolas"/>
      <family val="3"/>
    </font>
    <font>
      <i/>
      <u/>
      <sz val="11"/>
      <color rgb="FFFF0000"/>
      <name val="Calibri"/>
      <family val="2"/>
      <scheme val="minor"/>
    </font>
    <font>
      <b/>
      <u/>
      <sz val="11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rgb="FF0000FF"/>
      <name val="Consolas"/>
      <family val="3"/>
    </font>
    <font>
      <b/>
      <i/>
      <sz val="11"/>
      <color rgb="FF0000FF"/>
      <name val="Calibri"/>
      <family val="2"/>
      <scheme val="minor"/>
    </font>
    <font>
      <i/>
      <sz val="22"/>
      <color rgb="FFFF0000"/>
      <name val="Cooper Black"/>
      <family val="1"/>
    </font>
    <font>
      <i/>
      <sz val="11"/>
      <color theme="1"/>
      <name val="Arial Rounded MT Bold"/>
      <family val="2"/>
    </font>
    <font>
      <sz val="8"/>
      <color rgb="FF000000"/>
      <name val="Tahoma"/>
      <family val="2"/>
    </font>
    <font>
      <b/>
      <sz val="20"/>
      <color rgb="FF0000F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0000FF"/>
      <name val="Arial"/>
      <family val="2"/>
    </font>
    <font>
      <b/>
      <sz val="20"/>
      <color theme="0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i/>
      <sz val="8"/>
      <color rgb="FF0000FF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u/>
      <sz val="18"/>
      <color rgb="FF0000FF"/>
      <name val="Calibri"/>
      <family val="2"/>
      <scheme val="minor"/>
    </font>
    <font>
      <b/>
      <i/>
      <u/>
      <sz val="36"/>
      <color rgb="FFFF0000"/>
      <name val="Calibri"/>
      <family val="2"/>
      <scheme val="minor"/>
    </font>
    <font>
      <b/>
      <i/>
      <u/>
      <sz val="16"/>
      <color rgb="FF0000FF"/>
      <name val="Calibri"/>
      <family val="2"/>
      <scheme val="minor"/>
    </font>
    <font>
      <sz val="11"/>
      <name val="Calibri"/>
      <family val="2"/>
      <scheme val="minor"/>
    </font>
    <font>
      <sz val="12"/>
      <color rgb="FF0000FF"/>
      <name val="Calibri"/>
      <family val="2"/>
      <scheme val="minor"/>
    </font>
    <font>
      <u/>
      <sz val="12"/>
      <color rgb="FF0000FF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i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rgb="FF0000FF"/>
      <name val="Calibri"/>
      <family val="2"/>
      <scheme val="minor"/>
    </font>
    <font>
      <sz val="20"/>
      <color rgb="FF0000FF"/>
      <name val="Calibri"/>
      <family val="2"/>
      <scheme val="minor"/>
    </font>
    <font>
      <sz val="11"/>
      <color rgb="FFFF0000"/>
      <name val="Arial"/>
      <family val="2"/>
    </font>
    <font>
      <b/>
      <i/>
      <sz val="8.5"/>
      <name val="Arial"/>
      <family val="2"/>
    </font>
    <font>
      <b/>
      <i/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u/>
      <sz val="22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i/>
      <sz val="22"/>
      <color rgb="FFFF0000"/>
      <name val="Cooper Black"/>
      <family val="1"/>
    </font>
    <font>
      <sz val="16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11"/>
      <color theme="1"/>
      <name val="Arial"/>
      <family val="2"/>
    </font>
    <font>
      <b/>
      <u/>
      <sz val="20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4"/>
      <color rgb="FFFF0000"/>
      <name val="Calibri"/>
      <family val="2"/>
      <scheme val="minor"/>
    </font>
    <font>
      <b/>
      <u/>
      <sz val="18"/>
      <color rgb="FFFF0000"/>
      <name val="Consolas"/>
      <family val="3"/>
    </font>
    <font>
      <b/>
      <u/>
      <sz val="18"/>
      <color rgb="FFFF0000"/>
      <name val="Calibri"/>
      <family val="2"/>
      <scheme val="minor"/>
    </font>
    <font>
      <i/>
      <sz val="14"/>
      <color rgb="FF0000FF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18"/>
      <color theme="0"/>
      <name val="Arial"/>
      <family val="2"/>
    </font>
    <font>
      <sz val="10"/>
      <color rgb="FFFF0000"/>
      <name val="Arial"/>
      <family val="2"/>
    </font>
    <font>
      <b/>
      <u/>
      <sz val="10"/>
      <color rgb="FFFF0000"/>
      <name val="Calibri"/>
      <family val="2"/>
      <scheme val="minor"/>
    </font>
    <font>
      <b/>
      <i/>
      <u/>
      <sz val="10"/>
      <name val="Arial"/>
      <family val="2"/>
    </font>
    <font>
      <i/>
      <sz val="22"/>
      <color rgb="FF0000FF"/>
      <name val="Cooper Black"/>
      <family val="1"/>
    </font>
    <font>
      <b/>
      <sz val="8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6" fillId="0" borderId="0"/>
  </cellStyleXfs>
  <cellXfs count="572">
    <xf numFmtId="0" fontId="0" fillId="0" borderId="0" xfId="0"/>
    <xf numFmtId="164" fontId="5" fillId="1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0" xfId="1" applyFont="1" applyProtection="1">
      <protection hidden="1"/>
    </xf>
    <xf numFmtId="0" fontId="19" fillId="0" borderId="0" xfId="1" applyFont="1" applyProtection="1">
      <protection hidden="1"/>
    </xf>
    <xf numFmtId="0" fontId="16" fillId="0" borderId="0" xfId="1" applyProtection="1">
      <protection hidden="1"/>
    </xf>
    <xf numFmtId="0" fontId="17" fillId="0" borderId="0" xfId="1" applyFont="1" applyBorder="1" applyProtection="1">
      <protection hidden="1"/>
    </xf>
    <xf numFmtId="0" fontId="18" fillId="0" borderId="0" xfId="1" applyFont="1" applyAlignment="1" applyProtection="1">
      <alignment vertical="center" wrapText="1"/>
      <protection hidden="1"/>
    </xf>
    <xf numFmtId="0" fontId="19" fillId="0" borderId="0" xfId="1" applyFont="1" applyBorder="1" applyProtection="1">
      <protection hidden="1"/>
    </xf>
    <xf numFmtId="0" fontId="17" fillId="0" borderId="1" xfId="1" applyFont="1" applyBorder="1" applyAlignment="1" applyProtection="1">
      <alignment horizontal="left" indent="1"/>
      <protection hidden="1"/>
    </xf>
    <xf numFmtId="0" fontId="21" fillId="0" borderId="0" xfId="1" applyFont="1" applyProtection="1">
      <protection hidden="1"/>
    </xf>
    <xf numFmtId="0" fontId="20" fillId="20" borderId="0" xfId="1" applyFont="1" applyFill="1" applyBorder="1" applyProtection="1">
      <protection hidden="1"/>
    </xf>
    <xf numFmtId="0" fontId="19" fillId="20" borderId="0" xfId="1" applyFont="1" applyFill="1" applyBorder="1" applyProtection="1">
      <protection hidden="1"/>
    </xf>
    <xf numFmtId="0" fontId="17" fillId="0" borderId="1" xfId="1" applyFont="1" applyBorder="1" applyAlignment="1" applyProtection="1">
      <alignment horizontal="right" vertical="center" indent="1"/>
      <protection hidden="1"/>
    </xf>
    <xf numFmtId="0" fontId="29" fillId="0" borderId="1" xfId="1" applyFont="1" applyBorder="1" applyAlignment="1" applyProtection="1">
      <alignment horizontal="left" vertical="center" indent="1"/>
      <protection hidden="1"/>
    </xf>
    <xf numFmtId="0" fontId="17" fillId="0" borderId="1" xfId="1" applyFont="1" applyBorder="1" applyAlignment="1" applyProtection="1">
      <alignment horizontal="right" indent="1"/>
      <protection hidden="1"/>
    </xf>
    <xf numFmtId="0" fontId="17" fillId="20" borderId="0" xfId="1" applyFont="1" applyFill="1" applyBorder="1" applyAlignment="1" applyProtection="1">
      <alignment horizontal="right" indent="1"/>
      <protection hidden="1"/>
    </xf>
    <xf numFmtId="0" fontId="28" fillId="20" borderId="0" xfId="1" applyFont="1" applyFill="1" applyBorder="1" applyAlignment="1" applyProtection="1">
      <alignment horizontal="left" vertical="center" indent="1"/>
      <protection hidden="1"/>
    </xf>
    <xf numFmtId="0" fontId="28" fillId="20" borderId="0" xfId="1" applyFont="1" applyFill="1" applyBorder="1" applyAlignment="1" applyProtection="1">
      <alignment horizontal="left" indent="1"/>
      <protection hidden="1"/>
    </xf>
    <xf numFmtId="0" fontId="17" fillId="0" borderId="0" xfId="1" applyFont="1" applyFill="1" applyBorder="1" applyAlignment="1" applyProtection="1">
      <alignment horizontal="right" indent="1"/>
      <protection hidden="1"/>
    </xf>
    <xf numFmtId="0" fontId="28" fillId="0" borderId="0" xfId="1" applyFont="1" applyFill="1" applyBorder="1" applyAlignment="1" applyProtection="1">
      <alignment horizontal="left" vertical="center" indent="1"/>
      <protection hidden="1"/>
    </xf>
    <xf numFmtId="0" fontId="28" fillId="0" borderId="0" xfId="1" applyFont="1" applyFill="1" applyBorder="1" applyAlignment="1" applyProtection="1">
      <alignment horizontal="left" indent="1"/>
      <protection hidden="1"/>
    </xf>
    <xf numFmtId="0" fontId="20" fillId="0" borderId="1" xfId="1" applyFont="1" applyBorder="1" applyAlignment="1" applyProtection="1">
      <alignment horizontal="center"/>
      <protection hidden="1"/>
    </xf>
    <xf numFmtId="0" fontId="22" fillId="0" borderId="0" xfId="1" applyFont="1" applyProtection="1">
      <protection hidden="1"/>
    </xf>
    <xf numFmtId="0" fontId="1" fillId="9" borderId="1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10" fillId="0" borderId="0" xfId="0" applyFont="1" applyProtection="1">
      <protection hidden="1"/>
    </xf>
    <xf numFmtId="0" fontId="0" fillId="2" borderId="0" xfId="0" applyFill="1" applyProtection="1">
      <protection hidden="1"/>
    </xf>
    <xf numFmtId="0" fontId="30" fillId="0" borderId="0" xfId="0" applyFont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left" vertical="center" indent="1"/>
      <protection hidden="1"/>
    </xf>
    <xf numFmtId="164" fontId="0" fillId="5" borderId="1" xfId="0" applyNumberFormat="1" applyFill="1" applyBorder="1" applyAlignment="1" applyProtection="1">
      <alignment horizontal="left" vertical="center" indent="1"/>
      <protection hidden="1"/>
    </xf>
    <xf numFmtId="0" fontId="0" fillId="23" borderId="2" xfId="0" applyFill="1" applyBorder="1" applyAlignment="1" applyProtection="1">
      <alignment vertical="top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left" vertical="center" indent="1"/>
      <protection hidden="1"/>
    </xf>
    <xf numFmtId="0" fontId="0" fillId="23" borderId="2" xfId="0" applyFill="1" applyBorder="1" applyProtection="1">
      <protection hidden="1"/>
    </xf>
    <xf numFmtId="0" fontId="0" fillId="6" borderId="0" xfId="0" applyFill="1" applyProtection="1">
      <protection hidden="1"/>
    </xf>
    <xf numFmtId="0" fontId="0" fillId="4" borderId="0" xfId="0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 indent="1"/>
      <protection hidden="1"/>
    </xf>
    <xf numFmtId="0" fontId="0" fillId="0" borderId="1" xfId="0" applyBorder="1" applyProtection="1">
      <protection hidden="1"/>
    </xf>
    <xf numFmtId="0" fontId="40" fillId="0" borderId="0" xfId="0" applyFont="1" applyProtection="1">
      <protection hidden="1"/>
    </xf>
    <xf numFmtId="0" fontId="31" fillId="0" borderId="0" xfId="0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vertical="center"/>
      <protection hidden="1"/>
    </xf>
    <xf numFmtId="164" fontId="5" fillId="10" borderId="1" xfId="0" applyNumberFormat="1" applyFont="1" applyFill="1" applyBorder="1" applyAlignment="1" applyProtection="1">
      <alignment horizontal="center" vertical="center"/>
      <protection hidden="1"/>
    </xf>
    <xf numFmtId="0" fontId="27" fillId="8" borderId="1" xfId="0" applyFont="1" applyFill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0" fillId="5" borderId="1" xfId="0" applyFont="1" applyFill="1" applyBorder="1" applyAlignment="1" applyProtection="1">
      <alignment horizontal="left" vertical="center" indent="1"/>
      <protection hidden="1"/>
    </xf>
    <xf numFmtId="164" fontId="10" fillId="5" borderId="1" xfId="0" applyNumberFormat="1" applyFont="1" applyFill="1" applyBorder="1" applyAlignment="1" applyProtection="1">
      <alignment horizontal="left" vertical="center" indent="1"/>
      <protection hidden="1"/>
    </xf>
    <xf numFmtId="0" fontId="0" fillId="23" borderId="0" xfId="0" applyFill="1" applyProtection="1">
      <protection hidden="1"/>
    </xf>
    <xf numFmtId="0" fontId="0" fillId="12" borderId="0" xfId="0" applyFill="1" applyProtection="1"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2" xfId="0" applyBorder="1" applyProtection="1">
      <protection hidden="1"/>
    </xf>
    <xf numFmtId="49" fontId="0" fillId="0" borderId="0" xfId="0" applyNumberFormat="1" applyProtection="1">
      <protection hidden="1"/>
    </xf>
    <xf numFmtId="0" fontId="0" fillId="15" borderId="0" xfId="0" applyFill="1" applyProtection="1">
      <protection hidden="1"/>
    </xf>
    <xf numFmtId="0" fontId="0" fillId="24" borderId="0" xfId="0" applyFill="1" applyAlignment="1" applyProtection="1">
      <alignment vertical="center"/>
      <protection hidden="1"/>
    </xf>
    <xf numFmtId="0" fontId="26" fillId="8" borderId="1" xfId="0" applyFont="1" applyFill="1" applyBorder="1" applyAlignment="1" applyProtection="1">
      <alignment horizontal="center" vertical="center" wrapText="1"/>
      <protection hidden="1"/>
    </xf>
    <xf numFmtId="164" fontId="2" fillId="3" borderId="1" xfId="0" applyNumberFormat="1" applyFont="1" applyFill="1" applyBorder="1" applyAlignment="1" applyProtection="1">
      <alignment horizontal="left" vertical="center" indent="1"/>
      <protection hidden="1"/>
    </xf>
    <xf numFmtId="0" fontId="1" fillId="13" borderId="1" xfId="0" applyFont="1" applyFill="1" applyBorder="1" applyAlignment="1" applyProtection="1">
      <alignment horizontal="center" vertical="center"/>
      <protection locked="0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0" fontId="1" fillId="13" borderId="13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0" borderId="0" xfId="0" applyAlignment="1" applyProtection="1">
      <alignment horizontal="right" vertical="center" indent="1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2" borderId="2" xfId="0" applyFill="1" applyBorder="1" applyAlignment="1" applyProtection="1">
      <alignment horizontal="left" vertical="top"/>
      <protection hidden="1"/>
    </xf>
    <xf numFmtId="0" fontId="0" fillId="19" borderId="0" xfId="0" applyFill="1" applyProtection="1">
      <protection hidden="1"/>
    </xf>
    <xf numFmtId="0" fontId="0" fillId="5" borderId="1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165" fontId="24" fillId="0" borderId="1" xfId="1" applyNumberFormat="1" applyFont="1" applyBorder="1" applyAlignment="1" applyProtection="1">
      <alignment horizontal="center"/>
      <protection locked="0"/>
    </xf>
    <xf numFmtId="0" fontId="24" fillId="0" borderId="1" xfId="1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top"/>
      <protection hidden="1"/>
    </xf>
    <xf numFmtId="164" fontId="5" fillId="10" borderId="1" xfId="0" applyNumberFormat="1" applyFont="1" applyFill="1" applyBorder="1" applyAlignment="1" applyProtection="1">
      <alignment horizontal="center" vertical="center"/>
      <protection hidden="1"/>
    </xf>
    <xf numFmtId="0" fontId="42" fillId="0" borderId="0" xfId="0" applyFont="1" applyProtection="1">
      <protection hidden="1"/>
    </xf>
    <xf numFmtId="0" fontId="0" fillId="0" borderId="0" xfId="0" applyAlignment="1" applyProtection="1">
      <alignment horizontal="left" vertical="center" indent="1"/>
      <protection hidden="1"/>
    </xf>
    <xf numFmtId="0" fontId="30" fillId="0" borderId="0" xfId="0" applyFont="1" applyFill="1" applyAlignment="1" applyProtection="1">
      <alignment vertical="top"/>
      <protection locked="0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/>
      <protection hidden="1"/>
    </xf>
    <xf numFmtId="166" fontId="0" fillId="5" borderId="1" xfId="0" applyNumberFormat="1" applyFill="1" applyBorder="1" applyAlignment="1" applyProtection="1">
      <alignment horizontal="left" vertical="center" indent="1"/>
      <protection hidden="1"/>
    </xf>
    <xf numFmtId="0" fontId="0" fillId="23" borderId="2" xfId="0" applyFill="1" applyBorder="1" applyAlignment="1" applyProtection="1">
      <alignment horizontal="center" vertical="center"/>
      <protection hidden="1"/>
    </xf>
    <xf numFmtId="0" fontId="0" fillId="5" borderId="1" xfId="0" applyNumberFormat="1" applyFill="1" applyBorder="1" applyAlignment="1" applyProtection="1">
      <alignment horizontal="left" vertical="center" inden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40" fillId="25" borderId="2" xfId="0" applyFont="1" applyFill="1" applyBorder="1" applyProtection="1">
      <protection hidden="1"/>
    </xf>
    <xf numFmtId="166" fontId="5" fillId="10" borderId="1" xfId="0" applyNumberFormat="1" applyFont="1" applyFill="1" applyBorder="1" applyAlignment="1" applyProtection="1">
      <alignment horizontal="center" vertical="center"/>
      <protection hidden="1"/>
    </xf>
    <xf numFmtId="167" fontId="0" fillId="5" borderId="1" xfId="0" applyNumberFormat="1" applyFill="1" applyBorder="1" applyAlignment="1" applyProtection="1">
      <alignment horizontal="left" vertical="center" indent="1"/>
      <protection hidden="1"/>
    </xf>
    <xf numFmtId="0" fontId="6" fillId="2" borderId="1" xfId="0" applyFont="1" applyFill="1" applyBorder="1" applyAlignment="1" applyProtection="1">
      <alignment horizontal="left" vertical="center" indent="1"/>
      <protection hidden="1"/>
    </xf>
    <xf numFmtId="167" fontId="0" fillId="2" borderId="1" xfId="0" applyNumberFormat="1" applyFill="1" applyBorder="1" applyAlignment="1" applyProtection="1">
      <alignment horizontal="left" vertical="center" indent="1"/>
      <protection hidden="1"/>
    </xf>
    <xf numFmtId="0" fontId="1" fillId="13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42" fillId="2" borderId="0" xfId="0" applyFont="1" applyFill="1" applyAlignment="1" applyProtection="1">
      <alignment horizontal="center" vertical="center"/>
      <protection hidden="1"/>
    </xf>
    <xf numFmtId="0" fontId="42" fillId="2" borderId="0" xfId="0" applyFont="1" applyFill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13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0" fillId="8" borderId="0" xfId="0" applyFill="1" applyProtection="1">
      <protection hidden="1"/>
    </xf>
    <xf numFmtId="0" fontId="0" fillId="27" borderId="0" xfId="0" applyFill="1" applyProtection="1"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 indent="1"/>
      <protection hidden="1"/>
    </xf>
    <xf numFmtId="0" fontId="54" fillId="5" borderId="16" xfId="0" applyFont="1" applyFill="1" applyBorder="1" applyAlignment="1" applyProtection="1">
      <alignment horizontal="center" vertical="center" wrapText="1"/>
      <protection hidden="1"/>
    </xf>
    <xf numFmtId="0" fontId="19" fillId="0" borderId="11" xfId="1" applyFont="1" applyBorder="1" applyProtection="1">
      <protection hidden="1"/>
    </xf>
    <xf numFmtId="14" fontId="24" fillId="17" borderId="1" xfId="1" applyNumberFormat="1" applyFont="1" applyFill="1" applyBorder="1" applyAlignment="1" applyProtection="1">
      <alignment horizontal="center"/>
      <protection locked="0"/>
    </xf>
    <xf numFmtId="0" fontId="70" fillId="23" borderId="0" xfId="0" applyFont="1" applyFill="1" applyProtection="1">
      <protection hidden="1"/>
    </xf>
    <xf numFmtId="0" fontId="44" fillId="2" borderId="1" xfId="0" applyFont="1" applyFill="1" applyBorder="1" applyAlignment="1" applyProtection="1">
      <alignment horizontal="center" vertical="center"/>
      <protection hidden="1"/>
    </xf>
    <xf numFmtId="0" fontId="44" fillId="2" borderId="1" xfId="0" applyFont="1" applyFill="1" applyBorder="1" applyAlignment="1" applyProtection="1">
      <alignment horizontal="left" vertical="center" indent="1"/>
      <protection hidden="1"/>
    </xf>
    <xf numFmtId="0" fontId="73" fillId="2" borderId="0" xfId="0" applyFont="1" applyFill="1" applyAlignment="1" applyProtection="1">
      <alignment horizontal="center" vertical="center" wrapText="1"/>
      <protection hidden="1"/>
    </xf>
    <xf numFmtId="0" fontId="0" fillId="6" borderId="1" xfId="0" applyFill="1" applyBorder="1" applyAlignment="1" applyProtection="1">
      <alignment horizontal="center" vertical="center"/>
      <protection hidden="1"/>
    </xf>
    <xf numFmtId="0" fontId="8" fillId="6" borderId="1" xfId="0" applyFont="1" applyFill="1" applyBorder="1" applyAlignment="1" applyProtection="1">
      <alignment horizontal="center" vertical="center"/>
      <protection hidden="1"/>
    </xf>
    <xf numFmtId="0" fontId="0" fillId="13" borderId="0" xfId="0" applyFill="1" applyProtection="1">
      <protection hidden="1"/>
    </xf>
    <xf numFmtId="0" fontId="0" fillId="13" borderId="1" xfId="0" applyFill="1" applyBorder="1" applyProtection="1">
      <protection hidden="1"/>
    </xf>
    <xf numFmtId="0" fontId="75" fillId="23" borderId="0" xfId="0" applyFont="1" applyFill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7" borderId="0" xfId="0" applyFont="1" applyFill="1" applyAlignment="1" applyProtection="1">
      <alignment horizontal="center" vertical="center"/>
      <protection hidden="1"/>
    </xf>
    <xf numFmtId="0" fontId="76" fillId="9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9" fillId="0" borderId="16" xfId="1" applyFont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vertical="center" wrapText="1"/>
      <protection hidden="1"/>
    </xf>
    <xf numFmtId="0" fontId="29" fillId="0" borderId="1" xfId="1" applyFont="1" applyBorder="1" applyAlignment="1" applyProtection="1">
      <alignment horizontal="left" vertical="center" wrapText="1" indent="1"/>
      <protection hidden="1"/>
    </xf>
    <xf numFmtId="0" fontId="0" fillId="23" borderId="0" xfId="0" applyFill="1"/>
    <xf numFmtId="0" fontId="0" fillId="0" borderId="1" xfId="0" applyBorder="1" applyAlignment="1" applyProtection="1">
      <alignment horizontal="right"/>
      <protection hidden="1"/>
    </xf>
    <xf numFmtId="0" fontId="0" fillId="23" borderId="1" xfId="0" applyFill="1" applyBorder="1" applyAlignment="1" applyProtection="1">
      <alignment horizontal="left" indent="1"/>
      <protection hidden="1"/>
    </xf>
    <xf numFmtId="0" fontId="0" fillId="23" borderId="0" xfId="0" applyFill="1" applyAlignment="1" applyProtection="1">
      <alignment horizontal="right" indent="1"/>
      <protection hidden="1"/>
    </xf>
    <xf numFmtId="0" fontId="29" fillId="0" borderId="16" xfId="1" applyFont="1" applyBorder="1" applyAlignment="1" applyProtection="1">
      <alignment horizontal="right" vertical="center" indent="1"/>
      <protection hidden="1"/>
    </xf>
    <xf numFmtId="0" fontId="29" fillId="0" borderId="11" xfId="1" applyFont="1" applyBorder="1" applyAlignment="1" applyProtection="1">
      <alignment horizontal="left" vertical="center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164" fontId="5" fillId="10" borderId="1" xfId="0" applyNumberFormat="1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left" vertical="center" indent="1"/>
      <protection hidden="1"/>
    </xf>
    <xf numFmtId="0" fontId="33" fillId="2" borderId="2" xfId="0" applyFont="1" applyFill="1" applyBorder="1" applyAlignment="1" applyProtection="1">
      <alignment horizontal="center" vertical="center"/>
      <protection locked="0"/>
    </xf>
    <xf numFmtId="0" fontId="82" fillId="0" borderId="16" xfId="1" applyFont="1" applyBorder="1" applyAlignment="1" applyProtection="1">
      <alignment horizontal="right" vertical="center"/>
      <protection hidden="1"/>
    </xf>
    <xf numFmtId="0" fontId="82" fillId="0" borderId="11" xfId="1" applyFont="1" applyBorder="1" applyAlignment="1" applyProtection="1">
      <alignment horizontal="left" vertical="center"/>
      <protection hidden="1"/>
    </xf>
    <xf numFmtId="0" fontId="81" fillId="0" borderId="16" xfId="1" applyFont="1" applyBorder="1" applyAlignment="1" applyProtection="1">
      <alignment horizontal="right" vertical="center"/>
      <protection hidden="1"/>
    </xf>
    <xf numFmtId="0" fontId="81" fillId="0" borderId="11" xfId="1" applyFont="1" applyBorder="1" applyAlignment="1" applyProtection="1">
      <alignment horizontal="left" vertical="center"/>
      <protection hidden="1"/>
    </xf>
    <xf numFmtId="0" fontId="81" fillId="0" borderId="18" xfId="1" applyFont="1" applyBorder="1" applyAlignment="1" applyProtection="1">
      <alignment horizontal="right" vertical="center"/>
      <protection hidden="1"/>
    </xf>
    <xf numFmtId="0" fontId="81" fillId="0" borderId="29" xfId="1" applyFont="1" applyBorder="1" applyAlignment="1" applyProtection="1">
      <alignment horizontal="right" vertical="center"/>
      <protection hidden="1"/>
    </xf>
    <xf numFmtId="0" fontId="38" fillId="21" borderId="0" xfId="0" applyFont="1" applyFill="1" applyAlignment="1" applyProtection="1">
      <alignment horizontal="left" vertical="top"/>
      <protection locked="0"/>
    </xf>
    <xf numFmtId="0" fontId="0" fillId="0" borderId="0" xfId="0" applyAlignment="1" applyProtection="1">
      <alignment horizontal="center"/>
      <protection hidden="1"/>
    </xf>
    <xf numFmtId="0" fontId="77" fillId="0" borderId="0" xfId="0" applyFont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82" fillId="0" borderId="11" xfId="1" applyFont="1" applyBorder="1" applyAlignment="1" applyProtection="1">
      <alignment horizontal="left" vertical="center" indent="1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0" fontId="55" fillId="0" borderId="16" xfId="1" applyFont="1" applyBorder="1" applyAlignment="1" applyProtection="1">
      <alignment horizontal="left" vertical="center" indent="1"/>
      <protection hidden="1"/>
    </xf>
    <xf numFmtId="0" fontId="82" fillId="0" borderId="16" xfId="1" applyFont="1" applyBorder="1" applyAlignment="1" applyProtection="1">
      <alignment horizontal="right" vertical="center" indent="1"/>
      <protection hidden="1"/>
    </xf>
    <xf numFmtId="0" fontId="55" fillId="0" borderId="1" xfId="1" applyFont="1" applyBorder="1" applyAlignment="1" applyProtection="1">
      <alignment horizontal="left" vertical="center" indent="1"/>
      <protection hidden="1"/>
    </xf>
    <xf numFmtId="0" fontId="92" fillId="0" borderId="0" xfId="0" applyFont="1" applyProtection="1">
      <protection hidden="1"/>
    </xf>
    <xf numFmtId="0" fontId="81" fillId="0" borderId="11" xfId="1" applyFont="1" applyBorder="1" applyAlignment="1" applyProtection="1">
      <alignment vertical="center"/>
      <protection hidden="1"/>
    </xf>
    <xf numFmtId="0" fontId="0" fillId="30" borderId="0" xfId="0" applyFill="1" applyProtection="1">
      <protection hidden="1"/>
    </xf>
    <xf numFmtId="0" fontId="0" fillId="0" borderId="0" xfId="0" applyFill="1" applyProtection="1"/>
    <xf numFmtId="0" fontId="0" fillId="3" borderId="0" xfId="0" applyFill="1" applyProtection="1"/>
    <xf numFmtId="0" fontId="0" fillId="0" borderId="0" xfId="0" applyProtection="1"/>
    <xf numFmtId="0" fontId="87" fillId="2" borderId="1" xfId="0" applyFont="1" applyFill="1" applyBorder="1" applyAlignment="1" applyProtection="1">
      <alignment horizontal="center" vertical="center"/>
    </xf>
    <xf numFmtId="0" fontId="77" fillId="0" borderId="1" xfId="0" applyFont="1" applyBorder="1" applyAlignment="1" applyProtection="1">
      <alignment horizontal="center"/>
    </xf>
    <xf numFmtId="0" fontId="51" fillId="0" borderId="0" xfId="0" applyFont="1" applyProtection="1"/>
    <xf numFmtId="0" fontId="77" fillId="0" borderId="1" xfId="0" applyFont="1" applyBorder="1" applyAlignment="1" applyProtection="1">
      <alignment horizontal="center" vertical="center"/>
    </xf>
    <xf numFmtId="0" fontId="77" fillId="0" borderId="0" xfId="0" applyFont="1" applyProtection="1"/>
    <xf numFmtId="0" fontId="67" fillId="0" borderId="0" xfId="0" applyFont="1" applyAlignment="1" applyProtection="1">
      <alignment horizontal="center" vertical="center"/>
    </xf>
    <xf numFmtId="0" fontId="88" fillId="7" borderId="1" xfId="0" applyFont="1" applyFill="1" applyBorder="1" applyAlignment="1" applyProtection="1">
      <alignment horizontal="center" vertical="center"/>
    </xf>
    <xf numFmtId="0" fontId="84" fillId="15" borderId="1" xfId="0" applyFont="1" applyFill="1" applyBorder="1" applyAlignment="1" applyProtection="1">
      <alignment horizontal="center"/>
    </xf>
    <xf numFmtId="0" fontId="0" fillId="0" borderId="1" xfId="0" applyBorder="1" applyProtection="1"/>
    <xf numFmtId="2" fontId="84" fillId="15" borderId="1" xfId="0" applyNumberFormat="1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1" fillId="13" borderId="13" xfId="0" applyFont="1" applyFill="1" applyBorder="1" applyAlignment="1" applyProtection="1">
      <alignment horizontal="center" vertical="center"/>
    </xf>
    <xf numFmtId="2" fontId="88" fillId="7" borderId="1" xfId="0" applyNumberFormat="1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 vertical="center"/>
    </xf>
    <xf numFmtId="0" fontId="1" fillId="13" borderId="1" xfId="0" applyFont="1" applyFill="1" applyBorder="1" applyAlignment="1" applyProtection="1">
      <alignment horizontal="center" vertical="center"/>
    </xf>
    <xf numFmtId="0" fontId="83" fillId="31" borderId="1" xfId="0" applyFont="1" applyFill="1" applyBorder="1" applyAlignment="1" applyProtection="1">
      <alignment horizontal="center" vertical="center"/>
    </xf>
    <xf numFmtId="0" fontId="0" fillId="0" borderId="0" xfId="0" applyBorder="1" applyProtection="1"/>
    <xf numFmtId="0" fontId="86" fillId="7" borderId="1" xfId="0" applyFont="1" applyFill="1" applyBorder="1" applyAlignment="1" applyProtection="1">
      <alignment horizontal="center" vertic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0" fontId="0" fillId="0" borderId="19" xfId="0" applyBorder="1" applyProtection="1"/>
    <xf numFmtId="0" fontId="0" fillId="0" borderId="20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/>
    </xf>
    <xf numFmtId="168" fontId="59" fillId="0" borderId="0" xfId="0" applyNumberFormat="1" applyFont="1" applyBorder="1" applyAlignment="1" applyProtection="1">
      <alignment horizontal="center" vertical="center"/>
    </xf>
    <xf numFmtId="0" fontId="0" fillId="0" borderId="24" xfId="0" applyFill="1" applyBorder="1" applyProtection="1"/>
    <xf numFmtId="0" fontId="0" fillId="0" borderId="25" xfId="0" applyFill="1" applyBorder="1" applyProtection="1"/>
    <xf numFmtId="0" fontId="0" fillId="0" borderId="26" xfId="0" applyFill="1" applyBorder="1" applyProtection="1"/>
    <xf numFmtId="0" fontId="68" fillId="0" borderId="0" xfId="0" applyFont="1" applyBorder="1" applyAlignment="1" applyProtection="1">
      <alignment horizontal="left" vertical="center" readingOrder="1"/>
    </xf>
    <xf numFmtId="0" fontId="3" fillId="0" borderId="0" xfId="0" applyFont="1" applyBorder="1" applyAlignment="1" applyProtection="1">
      <alignment horizontal="left" vertical="center" readingOrder="1"/>
    </xf>
    <xf numFmtId="0" fontId="0" fillId="0" borderId="24" xfId="0" applyBorder="1" applyProtection="1"/>
    <xf numFmtId="0" fontId="0" fillId="0" borderId="25" xfId="0" applyBorder="1" applyProtection="1"/>
    <xf numFmtId="0" fontId="0" fillId="0" borderId="26" xfId="0" applyBorder="1" applyProtection="1"/>
    <xf numFmtId="0" fontId="2" fillId="13" borderId="0" xfId="0" applyFont="1" applyFill="1" applyProtection="1"/>
    <xf numFmtId="0" fontId="2" fillId="7" borderId="0" xfId="0" applyFont="1" applyFill="1" applyProtection="1"/>
    <xf numFmtId="0" fontId="2" fillId="28" borderId="0" xfId="0" applyFont="1" applyFill="1" applyProtection="1"/>
    <xf numFmtId="0" fontId="2" fillId="33" borderId="0" xfId="0" applyFont="1" applyFill="1" applyProtection="1"/>
    <xf numFmtId="2" fontId="2" fillId="9" borderId="0" xfId="0" applyNumberFormat="1" applyFont="1" applyFill="1" applyAlignment="1" applyProtection="1">
      <alignment horizontal="center" vertical="center"/>
    </xf>
    <xf numFmtId="2" fontId="8" fillId="4" borderId="0" xfId="0" applyNumberFormat="1" applyFont="1" applyFill="1" applyAlignment="1" applyProtection="1">
      <alignment horizontal="center" vertical="center"/>
    </xf>
    <xf numFmtId="2" fontId="8" fillId="24" borderId="0" xfId="0" applyNumberFormat="1" applyFont="1" applyFill="1" applyAlignment="1" applyProtection="1">
      <alignment horizontal="center" vertical="center"/>
    </xf>
    <xf numFmtId="0" fontId="0" fillId="11" borderId="2" xfId="0" applyFill="1" applyBorder="1" applyAlignment="1" applyProtection="1">
      <alignment horizontal="center" vertical="center"/>
    </xf>
    <xf numFmtId="0" fontId="60" fillId="3" borderId="0" xfId="0" applyFont="1" applyFill="1" applyAlignment="1" applyProtection="1">
      <alignment horizontal="center"/>
    </xf>
    <xf numFmtId="168" fontId="61" fillId="0" borderId="0" xfId="0" applyNumberFormat="1" applyFon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168" fontId="62" fillId="29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168" fontId="93" fillId="13" borderId="0" xfId="0" applyNumberFormat="1" applyFont="1" applyFill="1" applyAlignment="1" applyProtection="1">
      <alignment horizontal="center" vertical="center"/>
    </xf>
    <xf numFmtId="0" fontId="0" fillId="2" borderId="1" xfId="0" applyFill="1" applyBorder="1" applyAlignment="1" applyProtection="1">
      <alignment horizontal="center" vertical="center"/>
    </xf>
    <xf numFmtId="168" fontId="0" fillId="2" borderId="1" xfId="0" applyNumberForma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64" fillId="13" borderId="1" xfId="0" applyFont="1" applyFill="1" applyBorder="1" applyAlignment="1" applyProtection="1">
      <alignment horizontal="center" vertical="center"/>
    </xf>
    <xf numFmtId="168" fontId="65" fillId="0" borderId="1" xfId="0" applyNumberFormat="1" applyFont="1" applyBorder="1" applyAlignment="1" applyProtection="1">
      <alignment horizontal="center" vertical="center"/>
    </xf>
    <xf numFmtId="0" fontId="63" fillId="3" borderId="0" xfId="0" applyFont="1" applyFill="1" applyAlignment="1" applyProtection="1">
      <alignment horizontal="center"/>
    </xf>
    <xf numFmtId="168" fontId="86" fillId="13" borderId="0" xfId="0" applyNumberFormat="1" applyFont="1" applyFill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2" fillId="13" borderId="2" xfId="0" applyFont="1" applyFill="1" applyBorder="1" applyAlignment="1" applyProtection="1">
      <alignment horizontal="center" vertical="center"/>
    </xf>
    <xf numFmtId="169" fontId="65" fillId="2" borderId="1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center" vertical="center"/>
    </xf>
    <xf numFmtId="0" fontId="1" fillId="7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/>
    </xf>
    <xf numFmtId="168" fontId="86" fillId="32" borderId="0" xfId="0" applyNumberFormat="1" applyFont="1" applyFill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89" fillId="3" borderId="0" xfId="0" applyFont="1" applyFill="1" applyAlignment="1" applyProtection="1">
      <alignment horizontal="center"/>
    </xf>
    <xf numFmtId="0" fontId="0" fillId="2" borderId="1" xfId="0" applyNumberFormat="1" applyFill="1" applyBorder="1" applyAlignment="1" applyProtection="1">
      <alignment horizontal="center" vertical="center"/>
    </xf>
    <xf numFmtId="0" fontId="0" fillId="0" borderId="0" xfId="0" applyNumberFormat="1" applyProtection="1"/>
    <xf numFmtId="0" fontId="89" fillId="13" borderId="0" xfId="0" applyFont="1" applyFill="1" applyAlignment="1" applyProtection="1">
      <alignment horizontal="center"/>
    </xf>
    <xf numFmtId="0" fontId="89" fillId="7" borderId="0" xfId="0" applyFont="1" applyFill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vertical="center"/>
    </xf>
    <xf numFmtId="168" fontId="65" fillId="0" borderId="0" xfId="0" applyNumberFormat="1" applyFont="1" applyBorder="1" applyAlignment="1" applyProtection="1">
      <alignment horizontal="center" vertical="center"/>
    </xf>
    <xf numFmtId="0" fontId="89" fillId="34" borderId="0" xfId="0" applyFont="1" applyFill="1" applyAlignment="1" applyProtection="1">
      <alignment horizontal="center"/>
    </xf>
    <xf numFmtId="0" fontId="89" fillId="13" borderId="1" xfId="0" applyFont="1" applyFill="1" applyBorder="1" applyAlignment="1" applyProtection="1">
      <alignment horizontal="center"/>
    </xf>
    <xf numFmtId="0" fontId="89" fillId="7" borderId="1" xfId="0" applyFont="1" applyFill="1" applyBorder="1" applyAlignment="1" applyProtection="1">
      <alignment horizontal="center"/>
    </xf>
    <xf numFmtId="0" fontId="9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17" fillId="0" borderId="1" xfId="1" applyFont="1" applyBorder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top" wrapText="1"/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14" fillId="0" borderId="0" xfId="0" applyFont="1" applyAlignment="1" applyProtection="1">
      <alignment vertical="center" wrapText="1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81" fillId="0" borderId="28" xfId="1" applyFont="1" applyBorder="1" applyAlignment="1" applyProtection="1">
      <alignment horizontal="right" vertical="center" indent="1"/>
      <protection hidden="1"/>
    </xf>
    <xf numFmtId="0" fontId="19" fillId="0" borderId="16" xfId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82" fillId="0" borderId="11" xfId="1" applyFont="1" applyBorder="1" applyAlignment="1" applyProtection="1">
      <alignment horizontal="left" vertical="center" indent="1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0" fontId="0" fillId="35" borderId="0" xfId="0" applyFill="1" applyProtection="1">
      <protection hidden="1"/>
    </xf>
    <xf numFmtId="0" fontId="43" fillId="0" borderId="0" xfId="0" applyFont="1" applyFill="1" applyBorder="1" applyAlignment="1" applyProtection="1">
      <alignment vertical="center"/>
      <protection hidden="1"/>
    </xf>
    <xf numFmtId="0" fontId="78" fillId="1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23" xfId="0" applyBorder="1" applyProtection="1">
      <protection hidden="1"/>
    </xf>
    <xf numFmtId="0" fontId="9" fillId="0" borderId="22" xfId="0" applyFont="1" applyBorder="1" applyAlignment="1" applyProtection="1">
      <alignment horizontal="center" vertical="top"/>
      <protection hidden="1"/>
    </xf>
    <xf numFmtId="0" fontId="9" fillId="0" borderId="0" xfId="0" applyFont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32" fillId="0" borderId="22" xfId="0" applyFont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 applyProtection="1">
      <alignment horizontal="center" vertical="center" wrapText="1"/>
      <protection hidden="1"/>
    </xf>
    <xf numFmtId="0" fontId="0" fillId="0" borderId="24" xfId="0" applyBorder="1" applyProtection="1">
      <protection hidden="1"/>
    </xf>
    <xf numFmtId="0" fontId="0" fillId="0" borderId="25" xfId="0" applyBorder="1" applyProtection="1">
      <protection hidden="1"/>
    </xf>
    <xf numFmtId="0" fontId="0" fillId="0" borderId="26" xfId="0" applyBorder="1" applyProtection="1">
      <protection hidden="1"/>
    </xf>
    <xf numFmtId="164" fontId="5" fillId="10" borderId="31" xfId="0" applyNumberFormat="1" applyFont="1" applyFill="1" applyBorder="1" applyAlignment="1" applyProtection="1">
      <alignment horizontal="center" vertical="center"/>
      <protection locked="0"/>
    </xf>
    <xf numFmtId="167" fontId="5" fillId="10" borderId="31" xfId="0" applyNumberFormat="1" applyFont="1" applyFill="1" applyBorder="1" applyAlignment="1" applyProtection="1">
      <alignment horizontal="center" vertical="center"/>
      <protection hidden="1"/>
    </xf>
    <xf numFmtId="0" fontId="0" fillId="19" borderId="0" xfId="0" applyFill="1"/>
    <xf numFmtId="0" fontId="0" fillId="16" borderId="0" xfId="0" applyFill="1"/>
    <xf numFmtId="0" fontId="0" fillId="20" borderId="0" xfId="0" applyFill="1" applyProtection="1">
      <protection hidden="1"/>
    </xf>
    <xf numFmtId="0" fontId="0" fillId="36" borderId="0" xfId="0" applyFill="1" applyProtection="1">
      <protection hidden="1"/>
    </xf>
    <xf numFmtId="0" fontId="0" fillId="20" borderId="0" xfId="0" applyFill="1"/>
    <xf numFmtId="0" fontId="0" fillId="12" borderId="0" xfId="0" applyFill="1" applyAlignment="1" applyProtection="1">
      <alignment horizontal="center"/>
      <protection hidden="1"/>
    </xf>
    <xf numFmtId="0" fontId="0" fillId="2" borderId="0" xfId="0" applyFill="1"/>
    <xf numFmtId="0" fontId="0" fillId="0" borderId="0" xfId="0" applyFont="1" applyAlignment="1" applyProtection="1">
      <alignment vertical="center" wrapText="1"/>
      <protection hidden="1"/>
    </xf>
    <xf numFmtId="0" fontId="29" fillId="0" borderId="1" xfId="1" applyFont="1" applyBorder="1" applyAlignment="1" applyProtection="1">
      <alignment horizontal="center" vertical="center"/>
      <protection hidden="1"/>
    </xf>
    <xf numFmtId="0" fontId="17" fillId="0" borderId="18" xfId="1" applyFont="1" applyBorder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16" fillId="3" borderId="0" xfId="1" applyFill="1" applyProtection="1">
      <protection hidden="1"/>
    </xf>
    <xf numFmtId="0" fontId="17" fillId="0" borderId="16" xfId="1" applyFont="1" applyBorder="1" applyAlignment="1" applyProtection="1">
      <alignment horizontal="right" indent="2"/>
      <protection hidden="1"/>
    </xf>
    <xf numFmtId="14" fontId="80" fillId="2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1" xfId="1" applyFont="1" applyBorder="1" applyAlignment="1" applyProtection="1">
      <alignment vertical="center"/>
      <protection locked="0"/>
    </xf>
    <xf numFmtId="0" fontId="16" fillId="0" borderId="0" xfId="1" applyAlignment="1" applyProtection="1">
      <alignment horizontal="center"/>
      <protection hidden="1"/>
    </xf>
    <xf numFmtId="0" fontId="2" fillId="9" borderId="0" xfId="0" applyFont="1" applyFill="1" applyProtection="1">
      <protection hidden="1"/>
    </xf>
    <xf numFmtId="0" fontId="16" fillId="0" borderId="1" xfId="1" applyBorder="1" applyAlignment="1" applyProtection="1">
      <alignment horizontal="center" vertical="center"/>
      <protection hidden="1"/>
    </xf>
    <xf numFmtId="14" fontId="80" fillId="2" borderId="16" xfId="1" applyNumberFormat="1" applyFont="1" applyFill="1" applyBorder="1" applyAlignment="1" applyProtection="1">
      <alignment horizontal="center" vertical="center"/>
      <protection locked="0"/>
    </xf>
    <xf numFmtId="0" fontId="16" fillId="19" borderId="1" xfId="1" applyFill="1" applyBorder="1" applyAlignment="1" applyProtection="1">
      <alignment horizontal="center"/>
      <protection hidden="1"/>
    </xf>
    <xf numFmtId="14" fontId="105" fillId="2" borderId="13" xfId="1" applyNumberFormat="1" applyFont="1" applyFill="1" applyBorder="1" applyAlignment="1" applyProtection="1">
      <alignment horizontal="center" vertical="center"/>
      <protection locked="0"/>
    </xf>
    <xf numFmtId="0" fontId="103" fillId="2" borderId="31" xfId="1" applyFont="1" applyFill="1" applyBorder="1" applyAlignment="1" applyProtection="1">
      <alignment horizontal="center" vertical="center" wrapText="1"/>
      <protection hidden="1"/>
    </xf>
    <xf numFmtId="0" fontId="102" fillId="3" borderId="1" xfId="1" applyFont="1" applyFill="1" applyBorder="1" applyAlignment="1" applyProtection="1">
      <alignment horizontal="center" vertical="top" wrapText="1"/>
      <protection hidden="1"/>
    </xf>
    <xf numFmtId="14" fontId="104" fillId="3" borderId="1" xfId="1" applyNumberFormat="1" applyFont="1" applyFill="1" applyBorder="1" applyAlignment="1" applyProtection="1">
      <alignment horizontal="center" vertical="center"/>
      <protection hidden="1"/>
    </xf>
    <xf numFmtId="0" fontId="106" fillId="0" borderId="27" xfId="0" applyFont="1" applyBorder="1" applyAlignment="1" applyProtection="1">
      <alignment horizontal="center" vertical="center"/>
      <protection hidden="1"/>
    </xf>
    <xf numFmtId="0" fontId="106" fillId="0" borderId="30" xfId="0" applyFont="1" applyBorder="1" applyAlignment="1" applyProtection="1">
      <alignment horizontal="center" vertical="top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81" fillId="0" borderId="16" xfId="1" applyFont="1" applyBorder="1" applyAlignment="1" applyProtection="1">
      <alignment horizontal="left" vertical="center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0" xfId="0" applyFill="1"/>
    <xf numFmtId="0" fontId="0" fillId="12" borderId="0" xfId="0" applyFill="1"/>
    <xf numFmtId="0" fontId="0" fillId="4" borderId="0" xfId="0" applyFill="1"/>
    <xf numFmtId="0" fontId="0" fillId="26" borderId="0" xfId="0" applyFill="1" applyProtection="1">
      <protection hidden="1"/>
    </xf>
    <xf numFmtId="0" fontId="107" fillId="0" borderId="14" xfId="1" applyFont="1" applyBorder="1" applyAlignment="1" applyProtection="1">
      <alignment horizontal="left" vertical="center" indent="1"/>
      <protection hidden="1"/>
    </xf>
    <xf numFmtId="0" fontId="81" fillId="0" borderId="27" xfId="1" applyFont="1" applyBorder="1" applyAlignment="1" applyProtection="1">
      <alignment horizontal="right" vertical="center" indent="1"/>
      <protection hidden="1"/>
    </xf>
    <xf numFmtId="0" fontId="81" fillId="0" borderId="30" xfId="1" applyFont="1" applyBorder="1" applyAlignment="1" applyProtection="1">
      <alignment horizontal="right" vertical="center" indent="1"/>
      <protection hidden="1"/>
    </xf>
    <xf numFmtId="0" fontId="0" fillId="0" borderId="15" xfId="0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12" xfId="0" applyBorder="1" applyAlignment="1" applyProtection="1">
      <alignment horizontal="center" vertical="top" wrapText="1"/>
    </xf>
    <xf numFmtId="0" fontId="58" fillId="7" borderId="1" xfId="0" applyFont="1" applyFill="1" applyBorder="1" applyAlignment="1" applyProtection="1">
      <alignment horizontal="center" vertical="center"/>
    </xf>
    <xf numFmtId="0" fontId="58" fillId="28" borderId="1" xfId="0" applyFont="1" applyFill="1" applyBorder="1" applyAlignment="1" applyProtection="1">
      <alignment horizontal="center" vertical="center"/>
    </xf>
    <xf numFmtId="0" fontId="58" fillId="13" borderId="1" xfId="0" applyFont="1" applyFill="1" applyBorder="1" applyAlignment="1" applyProtection="1">
      <alignment horizontal="center" vertical="center"/>
    </xf>
    <xf numFmtId="0" fontId="33" fillId="0" borderId="19" xfId="0" applyFont="1" applyBorder="1" applyAlignment="1" applyProtection="1">
      <alignment horizontal="center" vertical="center"/>
    </xf>
    <xf numFmtId="0" fontId="33" fillId="0" borderId="20" xfId="0" applyFont="1" applyBorder="1" applyAlignment="1" applyProtection="1">
      <alignment horizontal="center" vertical="center"/>
    </xf>
    <xf numFmtId="0" fontId="33" fillId="0" borderId="21" xfId="0" applyFont="1" applyBorder="1" applyAlignment="1" applyProtection="1">
      <alignment horizontal="center" vertical="center"/>
    </xf>
    <xf numFmtId="0" fontId="33" fillId="0" borderId="22" xfId="0" applyFont="1" applyBorder="1" applyAlignment="1" applyProtection="1">
      <alignment horizontal="center" vertical="center"/>
    </xf>
    <xf numFmtId="0" fontId="33" fillId="0" borderId="0" xfId="0" applyFont="1" applyBorder="1" applyAlignment="1" applyProtection="1">
      <alignment horizontal="center" vertical="center"/>
    </xf>
    <xf numFmtId="0" fontId="33" fillId="0" borderId="23" xfId="0" applyFont="1" applyBorder="1" applyAlignment="1" applyProtection="1">
      <alignment horizontal="center" vertical="center"/>
    </xf>
    <xf numFmtId="0" fontId="91" fillId="9" borderId="22" xfId="0" applyFont="1" applyFill="1" applyBorder="1" applyAlignment="1" applyProtection="1">
      <alignment horizontal="center" vertical="center"/>
    </xf>
    <xf numFmtId="0" fontId="91" fillId="9" borderId="0" xfId="0" applyFont="1" applyFill="1" applyBorder="1" applyAlignment="1" applyProtection="1">
      <alignment horizontal="center" vertical="center"/>
    </xf>
    <xf numFmtId="0" fontId="91" fillId="9" borderId="23" xfId="0" applyFont="1" applyFill="1" applyBorder="1" applyAlignment="1" applyProtection="1">
      <alignment horizontal="center" vertical="center"/>
    </xf>
    <xf numFmtId="0" fontId="91" fillId="9" borderId="24" xfId="0" applyFont="1" applyFill="1" applyBorder="1" applyAlignment="1" applyProtection="1">
      <alignment horizontal="center" vertical="center"/>
    </xf>
    <xf numFmtId="0" fontId="91" fillId="9" borderId="25" xfId="0" applyFont="1" applyFill="1" applyBorder="1" applyAlignment="1" applyProtection="1">
      <alignment horizontal="center" vertical="center"/>
    </xf>
    <xf numFmtId="0" fontId="91" fillId="9" borderId="26" xfId="0" applyFont="1" applyFill="1" applyBorder="1" applyAlignment="1" applyProtection="1">
      <alignment horizontal="center" vertical="center"/>
    </xf>
    <xf numFmtId="0" fontId="0" fillId="12" borderId="1" xfId="0" applyFill="1" applyBorder="1" applyAlignment="1" applyProtection="1">
      <alignment horizontal="center" vertical="center"/>
    </xf>
    <xf numFmtId="0" fontId="0" fillId="6" borderId="1" xfId="0" applyFill="1" applyBorder="1" applyAlignment="1" applyProtection="1">
      <alignment horizontal="center" vertical="center"/>
    </xf>
    <xf numFmtId="0" fontId="0" fillId="15" borderId="1" xfId="0" applyFill="1" applyBorder="1" applyAlignment="1" applyProtection="1">
      <alignment horizontal="center" vertical="center"/>
    </xf>
    <xf numFmtId="168" fontId="59" fillId="0" borderId="14" xfId="0" applyNumberFormat="1" applyFont="1" applyBorder="1" applyAlignment="1" applyProtection="1">
      <alignment horizontal="center" vertical="center"/>
    </xf>
    <xf numFmtId="168" fontId="59" fillId="0" borderId="27" xfId="0" applyNumberFormat="1" applyFont="1" applyBorder="1" applyAlignment="1" applyProtection="1">
      <alignment horizontal="center" vertical="center"/>
    </xf>
    <xf numFmtId="168" fontId="59" fillId="0" borderId="29" xfId="0" applyNumberFormat="1" applyFont="1" applyBorder="1" applyAlignment="1" applyProtection="1">
      <alignment horizontal="center" vertical="center"/>
    </xf>
    <xf numFmtId="168" fontId="59" fillId="0" borderId="30" xfId="0" applyNumberFormat="1" applyFont="1" applyBorder="1" applyAlignment="1" applyProtection="1">
      <alignment horizontal="center" vertical="center"/>
    </xf>
    <xf numFmtId="0" fontId="2" fillId="32" borderId="19" xfId="0" applyFont="1" applyFill="1" applyBorder="1" applyAlignment="1" applyProtection="1">
      <alignment horizontal="center" vertical="center"/>
    </xf>
    <xf numFmtId="0" fontId="2" fillId="32" borderId="20" xfId="0" applyFont="1" applyFill="1" applyBorder="1" applyAlignment="1" applyProtection="1">
      <alignment horizontal="center" vertical="center"/>
    </xf>
    <xf numFmtId="0" fontId="2" fillId="32" borderId="21" xfId="0" applyFont="1" applyFill="1" applyBorder="1" applyAlignment="1" applyProtection="1">
      <alignment horizontal="center" vertical="center"/>
    </xf>
    <xf numFmtId="0" fontId="2" fillId="32" borderId="24" xfId="0" applyFont="1" applyFill="1" applyBorder="1" applyAlignment="1" applyProtection="1">
      <alignment horizontal="center" vertical="center"/>
    </xf>
    <xf numFmtId="0" fontId="2" fillId="32" borderId="25" xfId="0" applyFont="1" applyFill="1" applyBorder="1" applyAlignment="1" applyProtection="1">
      <alignment horizontal="center" vertical="center"/>
    </xf>
    <xf numFmtId="0" fontId="2" fillId="32" borderId="26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 textRotation="90" wrapText="1"/>
    </xf>
    <xf numFmtId="0" fontId="89" fillId="7" borderId="19" xfId="0" applyFont="1" applyFill="1" applyBorder="1" applyAlignment="1" applyProtection="1">
      <alignment horizontal="center" vertical="center"/>
    </xf>
    <xf numFmtId="0" fontId="89" fillId="7" borderId="21" xfId="0" applyFont="1" applyFill="1" applyBorder="1" applyAlignment="1" applyProtection="1">
      <alignment horizontal="center" vertical="center"/>
    </xf>
    <xf numFmtId="0" fontId="89" fillId="7" borderId="24" xfId="0" applyFont="1" applyFill="1" applyBorder="1" applyAlignment="1" applyProtection="1">
      <alignment horizontal="center" vertical="center"/>
    </xf>
    <xf numFmtId="0" fontId="89" fillId="7" borderId="26" xfId="0" applyFont="1" applyFill="1" applyBorder="1" applyAlignment="1" applyProtection="1">
      <alignment horizontal="center" vertical="center"/>
    </xf>
    <xf numFmtId="0" fontId="89" fillId="23" borderId="19" xfId="0" applyFont="1" applyFill="1" applyBorder="1" applyAlignment="1" applyProtection="1">
      <alignment horizontal="center" vertical="center"/>
    </xf>
    <xf numFmtId="0" fontId="89" fillId="23" borderId="21" xfId="0" applyFont="1" applyFill="1" applyBorder="1" applyAlignment="1" applyProtection="1">
      <alignment horizontal="center" vertical="center"/>
    </xf>
    <xf numFmtId="0" fontId="89" fillId="23" borderId="24" xfId="0" applyFont="1" applyFill="1" applyBorder="1" applyAlignment="1" applyProtection="1">
      <alignment horizontal="center" vertical="center"/>
    </xf>
    <xf numFmtId="0" fontId="89" fillId="23" borderId="26" xfId="0" applyFont="1" applyFill="1" applyBorder="1" applyAlignment="1" applyProtection="1">
      <alignment horizontal="center" vertical="center"/>
    </xf>
    <xf numFmtId="0" fontId="33" fillId="0" borderId="24" xfId="0" applyFont="1" applyBorder="1" applyAlignment="1" applyProtection="1">
      <alignment horizontal="center" vertical="center"/>
    </xf>
    <xf numFmtId="0" fontId="33" fillId="0" borderId="26" xfId="0" applyFont="1" applyBorder="1" applyAlignment="1" applyProtection="1">
      <alignment horizontal="center" vertical="center"/>
    </xf>
    <xf numFmtId="0" fontId="91" fillId="3" borderId="19" xfId="0" applyFont="1" applyFill="1" applyBorder="1" applyAlignment="1" applyProtection="1">
      <alignment horizontal="center" vertical="center"/>
    </xf>
    <xf numFmtId="0" fontId="91" fillId="3" borderId="21" xfId="0" applyFont="1" applyFill="1" applyBorder="1" applyAlignment="1" applyProtection="1">
      <alignment horizontal="center" vertical="center"/>
    </xf>
    <xf numFmtId="0" fontId="91" fillId="3" borderId="24" xfId="0" applyFont="1" applyFill="1" applyBorder="1" applyAlignment="1" applyProtection="1">
      <alignment horizontal="center" vertical="center"/>
    </xf>
    <xf numFmtId="0" fontId="91" fillId="3" borderId="26" xfId="0" applyFont="1" applyFill="1" applyBorder="1" applyAlignment="1" applyProtection="1">
      <alignment horizontal="center" vertical="center"/>
    </xf>
    <xf numFmtId="0" fontId="33" fillId="0" borderId="19" xfId="0" applyFont="1" applyBorder="1" applyAlignment="1" applyProtection="1">
      <alignment horizontal="center" vertical="top" wrapText="1"/>
    </xf>
    <xf numFmtId="0" fontId="33" fillId="0" borderId="20" xfId="0" applyFont="1" applyBorder="1" applyAlignment="1" applyProtection="1">
      <alignment horizontal="center" vertical="top" wrapText="1"/>
    </xf>
    <xf numFmtId="0" fontId="33" fillId="0" borderId="21" xfId="0" applyFont="1" applyBorder="1" applyAlignment="1" applyProtection="1">
      <alignment horizontal="center" vertical="top" wrapText="1"/>
    </xf>
    <xf numFmtId="0" fontId="33" fillId="0" borderId="24" xfId="0" applyFont="1" applyBorder="1" applyAlignment="1" applyProtection="1">
      <alignment horizontal="center" vertical="top" wrapText="1"/>
    </xf>
    <xf numFmtId="0" fontId="33" fillId="0" borderId="25" xfId="0" applyFont="1" applyBorder="1" applyAlignment="1" applyProtection="1">
      <alignment horizontal="center" vertical="top" wrapText="1"/>
    </xf>
    <xf numFmtId="0" fontId="33" fillId="0" borderId="26" xfId="0" applyFont="1" applyBorder="1" applyAlignment="1" applyProtection="1">
      <alignment horizontal="center" vertical="top" wrapText="1"/>
    </xf>
    <xf numFmtId="0" fontId="56" fillId="7" borderId="19" xfId="0" applyFont="1" applyFill="1" applyBorder="1" applyAlignment="1" applyProtection="1">
      <alignment horizontal="center" vertical="center"/>
      <protection locked="0"/>
    </xf>
    <xf numFmtId="0" fontId="56" fillId="7" borderId="21" xfId="0" applyFont="1" applyFill="1" applyBorder="1" applyAlignment="1" applyProtection="1">
      <alignment horizontal="center" vertical="center"/>
      <protection locked="0"/>
    </xf>
    <xf numFmtId="0" fontId="56" fillId="7" borderId="24" xfId="0" applyFont="1" applyFill="1" applyBorder="1" applyAlignment="1" applyProtection="1">
      <alignment horizontal="center" vertical="center"/>
      <protection locked="0"/>
    </xf>
    <xf numFmtId="0" fontId="56" fillId="7" borderId="26" xfId="0" applyFont="1" applyFill="1" applyBorder="1" applyAlignment="1" applyProtection="1">
      <alignment horizontal="center" vertical="center"/>
      <protection locked="0"/>
    </xf>
    <xf numFmtId="14" fontId="90" fillId="22" borderId="0" xfId="0" applyNumberFormat="1" applyFont="1" applyFill="1" applyAlignment="1" applyProtection="1">
      <alignment horizontal="center" vertical="center" wrapText="1"/>
      <protection locked="0"/>
    </xf>
    <xf numFmtId="0" fontId="67" fillId="2" borderId="0" xfId="0" applyFont="1" applyFill="1" applyAlignment="1" applyProtection="1">
      <alignment horizontal="center" vertical="center"/>
    </xf>
    <xf numFmtId="0" fontId="50" fillId="22" borderId="0" xfId="0" applyFont="1" applyFill="1" applyAlignment="1" applyProtection="1">
      <alignment horizontal="left" vertical="center" wrapText="1"/>
      <protection locked="0"/>
    </xf>
    <xf numFmtId="0" fontId="33" fillId="0" borderId="20" xfId="0" applyFont="1" applyBorder="1" applyAlignment="1" applyProtection="1">
      <alignment horizontal="center" vertical="top"/>
    </xf>
    <xf numFmtId="0" fontId="33" fillId="0" borderId="21" xfId="0" applyFont="1" applyBorder="1" applyAlignment="1" applyProtection="1">
      <alignment horizontal="center" vertical="top"/>
    </xf>
    <xf numFmtId="0" fontId="33" fillId="0" borderId="24" xfId="0" applyFont="1" applyBorder="1" applyAlignment="1" applyProtection="1">
      <alignment horizontal="center" vertical="top"/>
    </xf>
    <xf numFmtId="0" fontId="33" fillId="0" borderId="25" xfId="0" applyFont="1" applyBorder="1" applyAlignment="1" applyProtection="1">
      <alignment horizontal="center" vertical="top"/>
    </xf>
    <xf numFmtId="0" fontId="33" fillId="0" borderId="26" xfId="0" applyFont="1" applyBorder="1" applyAlignment="1" applyProtection="1">
      <alignment horizontal="center" vertical="top"/>
    </xf>
    <xf numFmtId="0" fontId="89" fillId="7" borderId="19" xfId="0" applyFont="1" applyFill="1" applyBorder="1" applyAlignment="1" applyProtection="1">
      <alignment horizontal="center" vertical="center" wrapText="1"/>
      <protection locked="0"/>
    </xf>
    <xf numFmtId="0" fontId="89" fillId="7" borderId="20" xfId="0" applyFont="1" applyFill="1" applyBorder="1" applyAlignment="1" applyProtection="1">
      <alignment horizontal="center" vertical="center" wrapText="1"/>
      <protection locked="0"/>
    </xf>
    <xf numFmtId="0" fontId="89" fillId="7" borderId="21" xfId="0" applyFont="1" applyFill="1" applyBorder="1" applyAlignment="1" applyProtection="1">
      <alignment horizontal="center" vertical="center" wrapText="1"/>
      <protection locked="0"/>
    </xf>
    <xf numFmtId="0" fontId="89" fillId="7" borderId="24" xfId="0" applyFont="1" applyFill="1" applyBorder="1" applyAlignment="1" applyProtection="1">
      <alignment horizontal="center" vertical="center" wrapText="1"/>
      <protection locked="0"/>
    </xf>
    <xf numFmtId="0" fontId="89" fillId="7" borderId="25" xfId="0" applyFont="1" applyFill="1" applyBorder="1" applyAlignment="1" applyProtection="1">
      <alignment horizontal="center" vertical="center" wrapText="1"/>
      <protection locked="0"/>
    </xf>
    <xf numFmtId="0" fontId="89" fillId="7" borderId="26" xfId="0" applyFont="1" applyFill="1" applyBorder="1" applyAlignment="1" applyProtection="1">
      <alignment horizontal="center" vertical="center" wrapText="1"/>
      <protection locked="0"/>
    </xf>
    <xf numFmtId="0" fontId="0" fillId="11" borderId="0" xfId="0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top" wrapText="1"/>
    </xf>
    <xf numFmtId="0" fontId="69" fillId="2" borderId="0" xfId="0" applyFont="1" applyFill="1" applyBorder="1" applyAlignment="1" applyProtection="1">
      <alignment horizontal="center" vertical="center" readingOrder="1"/>
    </xf>
    <xf numFmtId="0" fontId="71" fillId="0" borderId="0" xfId="0" applyFont="1" applyAlignment="1" applyProtection="1">
      <alignment horizontal="left" vertical="top" wrapText="1"/>
    </xf>
    <xf numFmtId="0" fontId="71" fillId="0" borderId="28" xfId="0" applyFont="1" applyBorder="1" applyAlignment="1" applyProtection="1">
      <alignment horizontal="left" vertical="top" wrapText="1"/>
    </xf>
    <xf numFmtId="0" fontId="7" fillId="26" borderId="14" xfId="0" applyFont="1" applyFill="1" applyBorder="1" applyAlignment="1" applyProtection="1">
      <alignment horizontal="center" vertical="center" wrapText="1"/>
    </xf>
    <xf numFmtId="0" fontId="7" fillId="26" borderId="27" xfId="0" applyFont="1" applyFill="1" applyBorder="1" applyAlignment="1" applyProtection="1">
      <alignment horizontal="center" vertical="center" wrapText="1"/>
    </xf>
    <xf numFmtId="0" fontId="7" fillId="26" borderId="29" xfId="0" applyFont="1" applyFill="1" applyBorder="1" applyAlignment="1" applyProtection="1">
      <alignment horizontal="center" vertical="center" wrapText="1"/>
    </xf>
    <xf numFmtId="0" fontId="7" fillId="26" borderId="30" xfId="0" applyFont="1" applyFill="1" applyBorder="1" applyAlignment="1" applyProtection="1">
      <alignment horizontal="center" vertical="center" wrapText="1"/>
    </xf>
    <xf numFmtId="2" fontId="56" fillId="7" borderId="14" xfId="0" applyNumberFormat="1" applyFont="1" applyFill="1" applyBorder="1" applyAlignment="1" applyProtection="1">
      <alignment horizontal="center" vertical="center"/>
      <protection locked="0"/>
    </xf>
    <xf numFmtId="2" fontId="56" fillId="7" borderId="27" xfId="0" applyNumberFormat="1" applyFont="1" applyFill="1" applyBorder="1" applyAlignment="1" applyProtection="1">
      <alignment horizontal="center" vertical="center"/>
      <protection locked="0"/>
    </xf>
    <xf numFmtId="2" fontId="56" fillId="7" borderId="29" xfId="0" applyNumberFormat="1" applyFont="1" applyFill="1" applyBorder="1" applyAlignment="1" applyProtection="1">
      <alignment horizontal="center" vertical="center"/>
      <protection locked="0"/>
    </xf>
    <xf numFmtId="2" fontId="56" fillId="7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0" fillId="0" borderId="22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0" fillId="0" borderId="24" xfId="0" applyBorder="1" applyAlignment="1" applyProtection="1">
      <alignment horizontal="center" vertical="center" wrapText="1"/>
    </xf>
    <xf numFmtId="0" fontId="0" fillId="0" borderId="25" xfId="0" applyBorder="1" applyAlignment="1" applyProtection="1">
      <alignment horizontal="center" vertical="center" wrapText="1"/>
    </xf>
    <xf numFmtId="0" fontId="0" fillId="0" borderId="26" xfId="0" applyBorder="1" applyAlignment="1" applyProtection="1">
      <alignment horizontal="center" vertical="center" wrapText="1"/>
    </xf>
    <xf numFmtId="0" fontId="0" fillId="2" borderId="12" xfId="0" applyFill="1" applyBorder="1" applyAlignment="1" applyProtection="1">
      <alignment horizontal="center" vertical="center"/>
      <protection hidden="1"/>
    </xf>
    <xf numFmtId="0" fontId="32" fillId="2" borderId="15" xfId="0" applyFont="1" applyFill="1" applyBorder="1" applyAlignment="1" applyProtection="1">
      <alignment horizontal="center" vertical="center"/>
      <protection hidden="1"/>
    </xf>
    <xf numFmtId="0" fontId="1" fillId="13" borderId="16" xfId="0" applyFont="1" applyFill="1" applyBorder="1" applyAlignment="1" applyProtection="1">
      <alignment horizontal="center" vertical="center"/>
      <protection locked="0"/>
    </xf>
    <xf numFmtId="0" fontId="1" fillId="13" borderId="17" xfId="0" applyFont="1" applyFill="1" applyBorder="1" applyAlignment="1" applyProtection="1">
      <alignment horizontal="center" vertical="center"/>
      <protection locked="0"/>
    </xf>
    <xf numFmtId="0" fontId="37" fillId="2" borderId="0" xfId="0" applyFont="1" applyFill="1" applyAlignment="1" applyProtection="1">
      <alignment horizontal="left" vertical="top" indent="2"/>
      <protection hidden="1"/>
    </xf>
    <xf numFmtId="0" fontId="48" fillId="0" borderId="0" xfId="0" applyFont="1" applyBorder="1" applyAlignment="1" applyProtection="1">
      <alignment horizontal="center" vertical="center" wrapText="1"/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9" fillId="22" borderId="0" xfId="0" applyFont="1" applyFill="1" applyAlignment="1" applyProtection="1">
      <alignment horizontal="left" vertical="top" wrapText="1"/>
      <protection hidden="1"/>
    </xf>
    <xf numFmtId="0" fontId="9" fillId="22" borderId="0" xfId="0" applyFont="1" applyFill="1" applyAlignment="1" applyProtection="1">
      <alignment horizontal="left" vertical="top"/>
      <protection hidden="1"/>
    </xf>
    <xf numFmtId="0" fontId="43" fillId="2" borderId="0" xfId="0" applyFont="1" applyFill="1" applyBorder="1" applyAlignment="1" applyProtection="1">
      <alignment horizontal="center" vertical="center"/>
      <protection hidden="1"/>
    </xf>
    <xf numFmtId="0" fontId="0" fillId="5" borderId="16" xfId="0" applyFill="1" applyBorder="1" applyAlignment="1" applyProtection="1">
      <alignment horizontal="left" vertical="center" indent="1"/>
      <protection hidden="1"/>
    </xf>
    <xf numFmtId="0" fontId="0" fillId="5" borderId="11" xfId="0" applyFill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 vertical="top" wrapText="1"/>
      <protection hidden="1"/>
    </xf>
    <xf numFmtId="0" fontId="98" fillId="0" borderId="0" xfId="0" applyFont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0" fontId="1" fillId="13" borderId="14" xfId="0" applyFont="1" applyFill="1" applyBorder="1" applyAlignment="1" applyProtection="1">
      <alignment horizontal="center" vertical="center"/>
      <protection locked="0"/>
    </xf>
    <xf numFmtId="0" fontId="1" fillId="13" borderId="15" xfId="0" applyFont="1" applyFill="1" applyBorder="1" applyAlignment="1" applyProtection="1">
      <alignment horizontal="center" vertical="center"/>
      <protection locked="0"/>
    </xf>
    <xf numFmtId="0" fontId="14" fillId="2" borderId="12" xfId="0" applyFont="1" applyFill="1" applyBorder="1" applyAlignment="1" applyProtection="1">
      <alignment horizontal="center" wrapText="1"/>
      <protection hidden="1"/>
    </xf>
    <xf numFmtId="0" fontId="4" fillId="0" borderId="0" xfId="0" applyFont="1" applyAlignment="1" applyProtection="1">
      <alignment horizontal="left" vertical="center" indent="2"/>
      <protection hidden="1"/>
    </xf>
    <xf numFmtId="0" fontId="4" fillId="0" borderId="0" xfId="0" applyFont="1" applyAlignment="1" applyProtection="1">
      <alignment horizontal="left" vertical="center" indent="7"/>
      <protection hidden="1"/>
    </xf>
    <xf numFmtId="0" fontId="30" fillId="21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center" vertical="center" wrapText="1"/>
      <protection hidden="1"/>
    </xf>
    <xf numFmtId="0" fontId="0" fillId="22" borderId="0" xfId="0" applyFill="1" applyAlignment="1" applyProtection="1">
      <alignment horizontal="center" vertical="center" wrapText="1"/>
      <protection hidden="1"/>
    </xf>
    <xf numFmtId="0" fontId="0" fillId="20" borderId="0" xfId="0" applyFill="1" applyAlignment="1">
      <alignment horizontal="center"/>
    </xf>
    <xf numFmtId="0" fontId="0" fillId="16" borderId="0" xfId="0" applyFill="1" applyAlignment="1" applyProtection="1">
      <alignment horizontal="center"/>
      <protection hidden="1"/>
    </xf>
    <xf numFmtId="0" fontId="99" fillId="2" borderId="0" xfId="0" applyFont="1" applyFill="1" applyAlignment="1" applyProtection="1">
      <alignment horizontal="center" vertical="top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33" xfId="0" applyBorder="1" applyAlignment="1" applyProtection="1">
      <alignment horizontal="center" vertical="center"/>
      <protection hidden="1"/>
    </xf>
    <xf numFmtId="0" fontId="45" fillId="2" borderId="0" xfId="0" applyFont="1" applyFill="1" applyAlignment="1" applyProtection="1">
      <alignment horizontal="center" vertical="center" wrapText="1"/>
      <protection hidden="1"/>
    </xf>
    <xf numFmtId="0" fontId="30" fillId="21" borderId="0" xfId="0" applyFont="1" applyFill="1" applyAlignment="1" applyProtection="1">
      <alignment horizontal="left" vertical="top"/>
      <protection locked="0"/>
    </xf>
    <xf numFmtId="0" fontId="0" fillId="0" borderId="0" xfId="0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33" fillId="2" borderId="15" xfId="0" applyFont="1" applyFill="1" applyBorder="1" applyAlignment="1" applyProtection="1">
      <alignment horizontal="center" vertical="center"/>
      <protection hidden="1"/>
    </xf>
    <xf numFmtId="0" fontId="33" fillId="2" borderId="12" xfId="0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2" fillId="0" borderId="0" xfId="0" applyFont="1" applyAlignment="1" applyProtection="1">
      <alignment horizontal="center" vertical="center" wrapText="1"/>
      <protection hidden="1"/>
    </xf>
    <xf numFmtId="0" fontId="83" fillId="30" borderId="0" xfId="0" applyFont="1" applyFill="1" applyAlignment="1" applyProtection="1">
      <alignment horizontal="right" indent="1"/>
      <protection hidden="1"/>
    </xf>
    <xf numFmtId="0" fontId="83" fillId="30" borderId="0" xfId="0" applyFont="1" applyFill="1" applyAlignment="1" applyProtection="1">
      <alignment horizontal="left"/>
      <protection hidden="1"/>
    </xf>
    <xf numFmtId="0" fontId="2" fillId="3" borderId="16" xfId="0" applyFont="1" applyFill="1" applyBorder="1" applyAlignment="1" applyProtection="1">
      <alignment horizontal="left" vertical="center" indent="1"/>
      <protection hidden="1"/>
    </xf>
    <xf numFmtId="0" fontId="2" fillId="3" borderId="11" xfId="0" applyFont="1" applyFill="1" applyBorder="1" applyAlignment="1" applyProtection="1">
      <alignment horizontal="left" vertical="center" indent="1"/>
      <protection hidden="1"/>
    </xf>
    <xf numFmtId="164" fontId="47" fillId="10" borderId="1" xfId="0" applyNumberFormat="1" applyFont="1" applyFill="1" applyBorder="1" applyAlignment="1" applyProtection="1">
      <alignment horizontal="center" vertical="center"/>
      <protection locked="0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center" vertical="top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left" vertical="center" indent="1"/>
      <protection hidden="1"/>
    </xf>
    <xf numFmtId="0" fontId="6" fillId="5" borderId="11" xfId="0" applyFont="1" applyFill="1" applyBorder="1" applyAlignment="1" applyProtection="1">
      <alignment horizontal="left" vertical="center" indent="1"/>
      <protection hidden="1"/>
    </xf>
    <xf numFmtId="0" fontId="0" fillId="2" borderId="0" xfId="0" applyFill="1" applyAlignment="1" applyProtection="1">
      <alignment horizontal="center"/>
      <protection hidden="1"/>
    </xf>
    <xf numFmtId="0" fontId="48" fillId="0" borderId="19" xfId="0" applyFont="1" applyBorder="1" applyAlignment="1" applyProtection="1">
      <alignment horizontal="center" vertical="center" wrapText="1"/>
      <protection hidden="1"/>
    </xf>
    <xf numFmtId="0" fontId="48" fillId="0" borderId="20" xfId="0" applyFont="1" applyBorder="1" applyAlignment="1" applyProtection="1">
      <alignment horizontal="center" vertical="center" wrapText="1"/>
      <protection hidden="1"/>
    </xf>
    <xf numFmtId="0" fontId="48" fillId="0" borderId="24" xfId="0" applyFont="1" applyBorder="1" applyAlignment="1" applyProtection="1">
      <alignment horizontal="center" vertical="center" wrapText="1"/>
      <protection hidden="1"/>
    </xf>
    <xf numFmtId="0" fontId="48" fillId="0" borderId="25" xfId="0" applyFont="1" applyBorder="1" applyAlignment="1" applyProtection="1">
      <alignment horizontal="center" vertical="center" wrapText="1"/>
      <protection hidden="1"/>
    </xf>
    <xf numFmtId="0" fontId="43" fillId="2" borderId="20" xfId="0" applyFont="1" applyFill="1" applyBorder="1" applyAlignment="1" applyProtection="1">
      <alignment horizontal="center" vertical="center"/>
      <protection hidden="1"/>
    </xf>
    <xf numFmtId="0" fontId="43" fillId="2" borderId="21" xfId="0" applyFont="1" applyFill="1" applyBorder="1" applyAlignment="1" applyProtection="1">
      <alignment horizontal="center" vertical="center"/>
      <protection hidden="1"/>
    </xf>
    <xf numFmtId="0" fontId="43" fillId="2" borderId="25" xfId="0" applyFont="1" applyFill="1" applyBorder="1" applyAlignment="1" applyProtection="1">
      <alignment horizontal="center" vertical="center"/>
      <protection hidden="1"/>
    </xf>
    <xf numFmtId="0" fontId="43" fillId="2" borderId="26" xfId="0" applyFont="1" applyFill="1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 wrapText="1"/>
      <protection hidden="1"/>
    </xf>
    <xf numFmtId="0" fontId="0" fillId="0" borderId="21" xfId="0" applyBorder="1" applyAlignment="1" applyProtection="1">
      <alignment horizontal="center" vertical="center" wrapText="1"/>
      <protection hidden="1"/>
    </xf>
    <xf numFmtId="0" fontId="0" fillId="0" borderId="22" xfId="0" applyBorder="1" applyAlignment="1" applyProtection="1">
      <alignment horizontal="center" vertic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0" fillId="0" borderId="26" xfId="0" applyBorder="1" applyAlignment="1" applyProtection="1">
      <alignment horizontal="center" vertical="center" wrapText="1"/>
      <protection hidden="1"/>
    </xf>
    <xf numFmtId="0" fontId="1" fillId="13" borderId="1" xfId="0" applyFont="1" applyFill="1" applyBorder="1" applyAlignment="1" applyProtection="1">
      <alignment horizontal="center" vertical="center"/>
      <protection locked="0"/>
    </xf>
    <xf numFmtId="164" fontId="5" fillId="10" borderId="1" xfId="0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top" wrapText="1"/>
      <protection hidden="1"/>
    </xf>
    <xf numFmtId="0" fontId="0" fillId="0" borderId="12" xfId="0" applyBorder="1" applyAlignment="1" applyProtection="1">
      <alignment horizontal="center"/>
      <protection hidden="1"/>
    </xf>
    <xf numFmtId="0" fontId="33" fillId="2" borderId="15" xfId="0" applyFont="1" applyFill="1" applyBorder="1" applyAlignment="1" applyProtection="1">
      <alignment horizontal="center" vertical="center" wrapText="1"/>
      <protection hidden="1"/>
    </xf>
    <xf numFmtId="0" fontId="33" fillId="2" borderId="12" xfId="0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4" fillId="0" borderId="12" xfId="0" applyFont="1" applyBorder="1" applyAlignment="1" applyProtection="1">
      <alignment horizontal="center" vertical="center"/>
      <protection hidden="1"/>
    </xf>
    <xf numFmtId="0" fontId="0" fillId="14" borderId="16" xfId="0" applyFont="1" applyFill="1" applyBorder="1" applyAlignment="1" applyProtection="1">
      <alignment horizontal="center" wrapText="1"/>
      <protection hidden="1"/>
    </xf>
    <xf numFmtId="0" fontId="0" fillId="14" borderId="11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top"/>
      <protection hidden="1"/>
    </xf>
    <xf numFmtId="0" fontId="32" fillId="30" borderId="32" xfId="0" applyFont="1" applyFill="1" applyBorder="1" applyAlignment="1" applyProtection="1">
      <alignment horizontal="center" vertical="center"/>
      <protection hidden="1"/>
    </xf>
    <xf numFmtId="0" fontId="32" fillId="30" borderId="33" xfId="0" applyFont="1" applyFill="1" applyBorder="1" applyAlignment="1" applyProtection="1">
      <alignment horizontal="center" vertical="center"/>
      <protection hidden="1"/>
    </xf>
    <xf numFmtId="0" fontId="53" fillId="2" borderId="0" xfId="0" applyFont="1" applyFill="1" applyAlignment="1" applyProtection="1">
      <alignment horizontal="center" vertical="center"/>
      <protection hidden="1"/>
    </xf>
    <xf numFmtId="0" fontId="78" fillId="2" borderId="14" xfId="0" applyFont="1" applyFill="1" applyBorder="1" applyAlignment="1" applyProtection="1">
      <alignment horizontal="center" vertical="center" wrapText="1"/>
      <protection hidden="1"/>
    </xf>
    <xf numFmtId="0" fontId="78" fillId="2" borderId="15" xfId="0" applyFont="1" applyFill="1" applyBorder="1" applyAlignment="1" applyProtection="1">
      <alignment horizontal="center" vertical="center" wrapText="1"/>
      <protection hidden="1"/>
    </xf>
    <xf numFmtId="0" fontId="78" fillId="2" borderId="27" xfId="0" applyFont="1" applyFill="1" applyBorder="1" applyAlignment="1" applyProtection="1">
      <alignment horizontal="center" vertical="center" wrapText="1"/>
      <protection hidden="1"/>
    </xf>
    <xf numFmtId="0" fontId="78" fillId="2" borderId="18" xfId="0" applyFont="1" applyFill="1" applyBorder="1" applyAlignment="1" applyProtection="1">
      <alignment horizontal="center" vertical="center" wrapText="1"/>
      <protection hidden="1"/>
    </xf>
    <xf numFmtId="0" fontId="78" fillId="2" borderId="0" xfId="0" applyFont="1" applyFill="1" applyBorder="1" applyAlignment="1" applyProtection="1">
      <alignment horizontal="center" vertical="center" wrapText="1"/>
      <protection hidden="1"/>
    </xf>
    <xf numFmtId="0" fontId="78" fillId="2" borderId="28" xfId="0" applyFont="1" applyFill="1" applyBorder="1" applyAlignment="1" applyProtection="1">
      <alignment horizontal="center" vertical="center" wrapText="1"/>
      <protection hidden="1"/>
    </xf>
    <xf numFmtId="0" fontId="6" fillId="2" borderId="16" xfId="0" applyFont="1" applyFill="1" applyBorder="1" applyAlignment="1" applyProtection="1">
      <alignment horizontal="center" vertical="center"/>
      <protection hidden="1"/>
    </xf>
    <xf numFmtId="0" fontId="6" fillId="2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 wrapText="1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79" fillId="0" borderId="0" xfId="0" applyFont="1" applyAlignment="1" applyProtection="1">
      <alignment horizontal="center" vertical="top"/>
      <protection hidden="1"/>
    </xf>
    <xf numFmtId="0" fontId="14" fillId="2" borderId="15" xfId="0" applyFont="1" applyFill="1" applyBorder="1" applyAlignment="1" applyProtection="1">
      <alignment horizontal="center" wrapText="1"/>
      <protection hidden="1"/>
    </xf>
    <xf numFmtId="0" fontId="14" fillId="2" borderId="15" xfId="0" applyFont="1" applyFill="1" applyBorder="1" applyAlignment="1" applyProtection="1">
      <alignment horizontal="center"/>
      <protection hidden="1"/>
    </xf>
    <xf numFmtId="0" fontId="0" fillId="14" borderId="16" xfId="0" applyFill="1" applyBorder="1" applyAlignment="1" applyProtection="1">
      <alignment horizontal="center"/>
      <protection hidden="1"/>
    </xf>
    <xf numFmtId="0" fontId="0" fillId="14" borderId="11" xfId="0" applyFill="1" applyBorder="1" applyAlignment="1" applyProtection="1">
      <alignment horizontal="center"/>
      <protection hidden="1"/>
    </xf>
    <xf numFmtId="0" fontId="7" fillId="2" borderId="15" xfId="0" applyFont="1" applyFill="1" applyBorder="1" applyAlignment="1" applyProtection="1">
      <alignment horizontal="center" vertical="center" wrapText="1"/>
      <protection hidden="1"/>
    </xf>
    <xf numFmtId="0" fontId="7" fillId="2" borderId="12" xfId="0" applyFont="1" applyFill="1" applyBorder="1" applyAlignment="1" applyProtection="1">
      <alignment horizontal="center" vertical="center" wrapText="1"/>
      <protection hidden="1"/>
    </xf>
    <xf numFmtId="0" fontId="30" fillId="21" borderId="0" xfId="0" applyFont="1" applyFill="1" applyAlignment="1" applyProtection="1">
      <alignment horizontal="left" vertical="top" indent="1"/>
      <protection locked="0"/>
    </xf>
    <xf numFmtId="0" fontId="14" fillId="11" borderId="12" xfId="0" applyFont="1" applyFill="1" applyBorder="1" applyAlignment="1" applyProtection="1">
      <alignment horizontal="center" vertical="center"/>
      <protection hidden="1"/>
    </xf>
    <xf numFmtId="0" fontId="77" fillId="22" borderId="0" xfId="0" applyFont="1" applyFill="1" applyAlignment="1" applyProtection="1">
      <alignment horizontal="left" vertical="center" wrapText="1"/>
      <protection hidden="1"/>
    </xf>
    <xf numFmtId="0" fontId="27" fillId="8" borderId="1" xfId="0" applyFont="1" applyFill="1" applyBorder="1" applyAlignment="1" applyProtection="1">
      <alignment horizontal="center" vertical="center" wrapText="1"/>
      <protection hidden="1"/>
    </xf>
    <xf numFmtId="0" fontId="44" fillId="2" borderId="16" xfId="0" applyFont="1" applyFill="1" applyBorder="1" applyAlignment="1" applyProtection="1">
      <alignment horizontal="center" vertical="center" wrapText="1"/>
      <protection hidden="1"/>
    </xf>
    <xf numFmtId="0" fontId="44" fillId="2" borderId="11" xfId="0" applyFont="1" applyFill="1" applyBorder="1" applyAlignment="1" applyProtection="1">
      <alignment horizontal="center" vertical="center" wrapText="1"/>
      <protection hidden="1"/>
    </xf>
    <xf numFmtId="0" fontId="75" fillId="23" borderId="0" xfId="0" applyFont="1" applyFill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 wrapText="1"/>
      <protection hidden="1"/>
    </xf>
    <xf numFmtId="0" fontId="14" fillId="11" borderId="0" xfId="0" applyFont="1" applyFill="1" applyBorder="1" applyAlignment="1" applyProtection="1">
      <alignment horizontal="center" vertical="center"/>
      <protection hidden="1"/>
    </xf>
    <xf numFmtId="0" fontId="1" fillId="13" borderId="18" xfId="0" applyFont="1" applyFill="1" applyBorder="1" applyAlignment="1" applyProtection="1">
      <alignment horizontal="center" vertical="center"/>
      <protection locked="0"/>
    </xf>
    <xf numFmtId="0" fontId="1" fillId="13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30" fillId="21" borderId="0" xfId="0" applyFont="1" applyFill="1" applyAlignment="1" applyProtection="1">
      <alignment horizontal="center" vertical="center"/>
      <protection locked="0"/>
    </xf>
    <xf numFmtId="0" fontId="32" fillId="11" borderId="12" xfId="0" applyFont="1" applyFill="1" applyBorder="1" applyAlignment="1" applyProtection="1">
      <alignment horizontal="center" vertical="center"/>
      <protection hidden="1"/>
    </xf>
    <xf numFmtId="0" fontId="81" fillId="0" borderId="16" xfId="1" applyFont="1" applyBorder="1" applyAlignment="1" applyProtection="1">
      <alignment horizontal="left" vertical="center" indent="1"/>
      <protection hidden="1"/>
    </xf>
    <xf numFmtId="0" fontId="81" fillId="0" borderId="17" xfId="1" applyFont="1" applyBorder="1" applyAlignment="1" applyProtection="1">
      <alignment horizontal="left" vertical="center" indent="1"/>
      <protection hidden="1"/>
    </xf>
    <xf numFmtId="0" fontId="81" fillId="0" borderId="11" xfId="1" applyFont="1" applyBorder="1" applyAlignment="1" applyProtection="1">
      <alignment horizontal="left" vertical="center" indent="1"/>
      <protection hidden="1"/>
    </xf>
    <xf numFmtId="0" fontId="81" fillId="0" borderId="16" xfId="1" applyFont="1" applyBorder="1" applyAlignment="1" applyProtection="1">
      <alignment horizontal="right" vertical="center"/>
      <protection hidden="1"/>
    </xf>
    <xf numFmtId="0" fontId="81" fillId="0" borderId="17" xfId="1" applyFont="1" applyBorder="1" applyAlignment="1" applyProtection="1">
      <alignment horizontal="right" vertical="center"/>
      <protection hidden="1"/>
    </xf>
    <xf numFmtId="0" fontId="81" fillId="0" borderId="16" xfId="1" applyFont="1" applyBorder="1" applyAlignment="1" applyProtection="1">
      <alignment horizontal="left" vertical="center" wrapText="1" indent="1"/>
      <protection hidden="1"/>
    </xf>
    <xf numFmtId="0" fontId="81" fillId="0" borderId="11" xfId="1" applyFont="1" applyBorder="1" applyAlignment="1" applyProtection="1">
      <alignment horizontal="left" vertical="center" wrapText="1" indent="1"/>
      <protection hidden="1"/>
    </xf>
    <xf numFmtId="0" fontId="81" fillId="0" borderId="17" xfId="1" applyFont="1" applyBorder="1" applyAlignment="1" applyProtection="1">
      <alignment vertical="center"/>
      <protection hidden="1"/>
    </xf>
    <xf numFmtId="0" fontId="81" fillId="0" borderId="11" xfId="1" applyFont="1" applyBorder="1" applyAlignment="1" applyProtection="1">
      <alignment vertical="center"/>
      <protection hidden="1"/>
    </xf>
    <xf numFmtId="0" fontId="81" fillId="0" borderId="16" xfId="1" applyFont="1" applyBorder="1" applyAlignment="1" applyProtection="1">
      <alignment horizontal="left" vertical="center" indent="2"/>
      <protection hidden="1"/>
    </xf>
    <xf numFmtId="0" fontId="81" fillId="0" borderId="17" xfId="1" applyFont="1" applyBorder="1" applyAlignment="1" applyProtection="1">
      <alignment horizontal="left" vertical="center" indent="2"/>
      <protection hidden="1"/>
    </xf>
    <xf numFmtId="0" fontId="81" fillId="0" borderId="11" xfId="1" applyFont="1" applyBorder="1" applyAlignment="1" applyProtection="1">
      <alignment horizontal="left" vertical="center" indent="2"/>
      <protection hidden="1"/>
    </xf>
    <xf numFmtId="0" fontId="82" fillId="0" borderId="16" xfId="1" applyFont="1" applyBorder="1" applyAlignment="1" applyProtection="1">
      <alignment horizontal="left" vertical="center" indent="1"/>
      <protection hidden="1"/>
    </xf>
    <xf numFmtId="0" fontId="82" fillId="0" borderId="11" xfId="1" applyFont="1" applyBorder="1" applyAlignment="1" applyProtection="1">
      <alignment horizontal="left" vertical="center" indent="1"/>
      <protection hidden="1"/>
    </xf>
    <xf numFmtId="0" fontId="81" fillId="0" borderId="14" xfId="1" applyFont="1" applyBorder="1" applyAlignment="1" applyProtection="1">
      <alignment horizontal="left" vertical="center" indent="3"/>
      <protection hidden="1"/>
    </xf>
    <xf numFmtId="0" fontId="81" fillId="0" borderId="15" xfId="1" applyFont="1" applyBorder="1" applyAlignment="1" applyProtection="1">
      <alignment horizontal="left" vertical="center" indent="3"/>
      <protection hidden="1"/>
    </xf>
    <xf numFmtId="0" fontId="81" fillId="0" borderId="16" xfId="1" applyFont="1" applyBorder="1" applyAlignment="1" applyProtection="1">
      <alignment horizontal="left" vertical="center" wrapText="1" indent="3"/>
      <protection hidden="1"/>
    </xf>
    <xf numFmtId="0" fontId="81" fillId="0" borderId="17" xfId="1" applyFont="1" applyBorder="1" applyAlignment="1" applyProtection="1">
      <alignment horizontal="left" vertical="center" wrapText="1" indent="3"/>
      <protection hidden="1"/>
    </xf>
    <xf numFmtId="0" fontId="23" fillId="0" borderId="3" xfId="1" applyFont="1" applyBorder="1" applyAlignment="1" applyProtection="1">
      <alignment horizontal="center" vertical="center" wrapText="1"/>
      <protection hidden="1"/>
    </xf>
    <xf numFmtId="0" fontId="23" fillId="0" borderId="4" xfId="1" applyFont="1" applyBorder="1" applyAlignment="1" applyProtection="1">
      <alignment horizontal="center" vertical="center" wrapText="1"/>
      <protection hidden="1"/>
    </xf>
    <xf numFmtId="0" fontId="23" fillId="0" borderId="5" xfId="1" applyFont="1" applyBorder="1" applyAlignment="1" applyProtection="1">
      <alignment horizontal="center" vertical="center" wrapText="1"/>
      <protection hidden="1"/>
    </xf>
    <xf numFmtId="0" fontId="23" fillId="0" borderId="6" xfId="1" applyFont="1" applyBorder="1" applyAlignment="1" applyProtection="1">
      <alignment horizontal="center" vertical="center" wrapText="1"/>
      <protection hidden="1"/>
    </xf>
    <xf numFmtId="0" fontId="23" fillId="0" borderId="1" xfId="1" applyFont="1" applyBorder="1" applyAlignment="1" applyProtection="1">
      <alignment horizontal="center" vertical="center" wrapText="1"/>
      <protection hidden="1"/>
    </xf>
    <xf numFmtId="0" fontId="23" fillId="0" borderId="7" xfId="1" applyFont="1" applyBorder="1" applyAlignment="1" applyProtection="1">
      <alignment horizontal="center" vertical="center" wrapText="1"/>
      <protection hidden="1"/>
    </xf>
    <xf numFmtId="0" fontId="23" fillId="0" borderId="8" xfId="1" applyFont="1" applyBorder="1" applyAlignment="1" applyProtection="1">
      <alignment horizontal="center" vertical="center" wrapText="1"/>
      <protection hidden="1"/>
    </xf>
    <xf numFmtId="0" fontId="23" fillId="0" borderId="9" xfId="1" applyFont="1" applyBorder="1" applyAlignment="1" applyProtection="1">
      <alignment horizontal="center" vertical="center" wrapText="1"/>
      <protection hidden="1"/>
    </xf>
    <xf numFmtId="0" fontId="23" fillId="0" borderId="10" xfId="1" applyFont="1" applyBorder="1" applyAlignment="1" applyProtection="1">
      <alignment horizontal="center" vertical="center" wrapText="1"/>
      <protection hidden="1"/>
    </xf>
    <xf numFmtId="0" fontId="74" fillId="0" borderId="16" xfId="1" applyFont="1" applyBorder="1" applyAlignment="1" applyProtection="1">
      <alignment horizontal="right" vertical="center" indent="6"/>
      <protection hidden="1"/>
    </xf>
    <xf numFmtId="0" fontId="74" fillId="0" borderId="11" xfId="1" applyFont="1" applyBorder="1" applyAlignment="1" applyProtection="1">
      <alignment horizontal="right" vertical="center" indent="6"/>
      <protection hidden="1"/>
    </xf>
    <xf numFmtId="0" fontId="101" fillId="0" borderId="14" xfId="1" applyFont="1" applyBorder="1" applyAlignment="1" applyProtection="1">
      <alignment horizontal="right" vertical="center" wrapText="1"/>
      <protection hidden="1"/>
    </xf>
    <xf numFmtId="0" fontId="101" fillId="0" borderId="29" xfId="1" applyFont="1" applyBorder="1" applyAlignment="1" applyProtection="1">
      <alignment horizontal="right" vertical="center" wrapText="1"/>
      <protection hidden="1"/>
    </xf>
    <xf numFmtId="0" fontId="82" fillId="0" borderId="17" xfId="1" applyFont="1" applyBorder="1" applyAlignment="1" applyProtection="1">
      <alignment horizontal="left" vertical="center" indent="1"/>
      <protection hidden="1"/>
    </xf>
    <xf numFmtId="0" fontId="20" fillId="0" borderId="1" xfId="1" applyFont="1" applyBorder="1" applyAlignment="1" applyProtection="1">
      <alignment horizontal="left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18" borderId="1" xfId="1" applyFont="1" applyFill="1" applyBorder="1" applyAlignment="1" applyProtection="1">
      <alignment horizontal="center"/>
      <protection hidden="1"/>
    </xf>
    <xf numFmtId="0" fontId="20" fillId="18" borderId="1" xfId="1" applyFont="1" applyFill="1" applyBorder="1" applyAlignment="1" applyProtection="1">
      <alignment horizontal="center" vertical="center" wrapText="1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/>
      <protection hidden="1"/>
    </xf>
    <xf numFmtId="0" fontId="81" fillId="0" borderId="1" xfId="1" applyFont="1" applyBorder="1" applyAlignment="1" applyProtection="1">
      <alignment horizontal="right" vertical="center" indent="1"/>
      <protection hidden="1"/>
    </xf>
    <xf numFmtId="0" fontId="81" fillId="0" borderId="1" xfId="1" applyFont="1" applyBorder="1" applyAlignment="1" applyProtection="1">
      <alignment horizontal="left" vertical="center" indent="1"/>
      <protection hidden="1"/>
    </xf>
    <xf numFmtId="0" fontId="82" fillId="0" borderId="1" xfId="1" applyFont="1" applyBorder="1" applyAlignment="1" applyProtection="1">
      <alignment horizontal="left" vertical="center" indent="1"/>
      <protection hidden="1"/>
    </xf>
    <xf numFmtId="0" fontId="82" fillId="0" borderId="1" xfId="1" applyFont="1" applyBorder="1" applyAlignment="1" applyProtection="1">
      <alignment horizontal="left" vertical="center" indent="2"/>
      <protection hidden="1"/>
    </xf>
    <xf numFmtId="0" fontId="25" fillId="0" borderId="16" xfId="1" applyFont="1" applyBorder="1" applyAlignment="1" applyProtection="1">
      <alignment horizontal="center" vertical="center"/>
      <protection hidden="1"/>
    </xf>
    <xf numFmtId="0" fontId="25" fillId="0" borderId="17" xfId="1" applyFont="1" applyBorder="1" applyAlignment="1" applyProtection="1">
      <alignment horizontal="center" vertical="center"/>
      <protection hidden="1"/>
    </xf>
    <xf numFmtId="0" fontId="25" fillId="0" borderId="11" xfId="1" applyFont="1" applyBorder="1" applyAlignment="1" applyProtection="1">
      <alignment horizontal="center" vertical="center"/>
      <protection hidden="1"/>
    </xf>
    <xf numFmtId="0" fontId="55" fillId="0" borderId="16" xfId="1" applyFont="1" applyBorder="1" applyAlignment="1" applyProtection="1">
      <alignment horizontal="left" vertical="center" indent="1"/>
      <protection hidden="1"/>
    </xf>
    <xf numFmtId="0" fontId="55" fillId="0" borderId="17" xfId="1" applyFont="1" applyBorder="1" applyAlignment="1" applyProtection="1">
      <alignment horizontal="left" vertical="center" indent="1"/>
      <protection hidden="1"/>
    </xf>
    <xf numFmtId="0" fontId="108" fillId="6" borderId="0" xfId="0" applyFont="1" applyFill="1" applyAlignment="1" applyProtection="1">
      <alignment horizontal="left" vertical="center" wrapText="1"/>
      <protection locked="0"/>
    </xf>
  </cellXfs>
  <cellStyles count="2">
    <cellStyle name="Normal" xfId="0" builtinId="0"/>
    <cellStyle name="Normal 2" xfId="1"/>
  </cellStyles>
  <dxfs count="90"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0000FF"/>
      <color rgb="FFFF66FF"/>
      <color rgb="FFFFFF99"/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firstButton="1" fmlaLink="$BS$45" lockText="1" noThreeD="1"/>
</file>

<file path=xl/ctrlProps/ctrlProp10.xml><?xml version="1.0" encoding="utf-8"?>
<formControlPr xmlns="http://schemas.microsoft.com/office/spreadsheetml/2009/9/main" objectType="Radio" firstButton="1" fmlaLink="$BF$77" lockText="1" noThreeD="1"/>
</file>

<file path=xl/ctrlProps/ctrlProp100.xml><?xml version="1.0" encoding="utf-8"?>
<formControlPr xmlns="http://schemas.microsoft.com/office/spreadsheetml/2009/9/main" objectType="Radio" checked="Checked" lockText="1" noThreeD="1"/>
</file>

<file path=xl/ctrlProps/ctrlProp101.xml><?xml version="1.0" encoding="utf-8"?>
<formControlPr xmlns="http://schemas.microsoft.com/office/spreadsheetml/2009/9/main" objectType="Radio" checked="Checked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CheckBox" fmlaLink="$BP$87" lockText="1" noThreeD="1"/>
</file>

<file path=xl/ctrlProps/ctrlProp104.xml><?xml version="1.0" encoding="utf-8"?>
<formControlPr xmlns="http://schemas.microsoft.com/office/spreadsheetml/2009/9/main" objectType="CheckBox" fmlaLink="$BG$91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fmlaLink="$BS$69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CheckBox" fmlaLink="$BS$68" lockText="1" noThreeD="1"/>
</file>

<file path=xl/ctrlProps/ctrlProp109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checked="Checked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checked="Checked" lockText="1" noThreeD="1"/>
</file>

<file path=xl/ctrlProps/ctrlProp113.xml><?xml version="1.0" encoding="utf-8"?>
<formControlPr xmlns="http://schemas.microsoft.com/office/spreadsheetml/2009/9/main" objectType="CheckBox" fmlaLink="$BP$92" lockText="1" noThreeD="1"/>
</file>

<file path=xl/ctrlProps/ctrlProp114.xml><?xml version="1.0" encoding="utf-8"?>
<formControlPr xmlns="http://schemas.microsoft.com/office/spreadsheetml/2009/9/main" objectType="Radio" checked="Checked" lockText="1" noThreeD="1"/>
</file>

<file path=xl/ctrlProps/ctrlProp115.xml><?xml version="1.0" encoding="utf-8"?>
<formControlPr xmlns="http://schemas.microsoft.com/office/spreadsheetml/2009/9/main" objectType="Radio" checked="Checked" lockText="1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Radio" firstButton="1" fmlaLink="$AV$148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Radio" checked="Checked" lockText="1" noThreeD="1"/>
</file>

<file path=xl/ctrlProps/ctrlProp124.xml><?xml version="1.0" encoding="utf-8"?>
<formControlPr xmlns="http://schemas.microsoft.com/office/spreadsheetml/2009/9/main" objectType="Radio" firstButton="1" fmlaLink="$BH$148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Radio" checked="Checked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CheckBox" fmlaLink="$BE$149" lockText="1" noThreeD="1"/>
</file>

<file path=xl/ctrlProps/ctrlProp129.xml><?xml version="1.0" encoding="utf-8"?>
<formControlPr xmlns="http://schemas.microsoft.com/office/spreadsheetml/2009/9/main" objectType="Radio" firstButton="1" fmlaLink="$BE$150" lockText="1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Radio" lockText="1" noThreeD="1"/>
</file>

<file path=xl/ctrlProps/ctrlProp131.xml><?xml version="1.0" encoding="utf-8"?>
<formControlPr xmlns="http://schemas.microsoft.com/office/spreadsheetml/2009/9/main" objectType="Radio" lockText="1" noThreeD="1"/>
</file>

<file path=xl/ctrlProps/ctrlProp132.xml><?xml version="1.0" encoding="utf-8"?>
<formControlPr xmlns="http://schemas.microsoft.com/office/spreadsheetml/2009/9/main" objectType="Radio" checked="Checked" lockText="1" noThreeD="1"/>
</file>

<file path=xl/ctrlProps/ctrlProp133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Radio" firstButton="1" fmlaLink="$AZ$185" lockText="1" noThreeD="1"/>
</file>

<file path=xl/ctrlProps/ctrlProp136.xml><?xml version="1.0" encoding="utf-8"?>
<formControlPr xmlns="http://schemas.microsoft.com/office/spreadsheetml/2009/9/main" objectType="Radio" lockText="1" noThreeD="1"/>
</file>

<file path=xl/ctrlProps/ctrlProp137.xml><?xml version="1.0" encoding="utf-8"?>
<formControlPr xmlns="http://schemas.microsoft.com/office/spreadsheetml/2009/9/main" objectType="Radio" checked="Checked" lockText="1" noThreeD="1"/>
</file>

<file path=xl/ctrlProps/ctrlProp138.xml><?xml version="1.0" encoding="utf-8"?>
<formControlPr xmlns="http://schemas.microsoft.com/office/spreadsheetml/2009/9/main" objectType="CheckBox" fmlaLink="$AV$186" lockText="1" noThreeD="1"/>
</file>

<file path=xl/ctrlProps/ctrlProp139.xml><?xml version="1.0" encoding="utf-8"?>
<formControlPr xmlns="http://schemas.microsoft.com/office/spreadsheetml/2009/9/main" objectType="CheckBox" fmlaLink="$AV$189" lockText="1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CheckBox" fmlaLink="$AZ$178" lockText="1" noThreeD="1"/>
</file>

<file path=xl/ctrlProps/ctrlProp141.xml><?xml version="1.0" encoding="utf-8"?>
<formControlPr xmlns="http://schemas.microsoft.com/office/spreadsheetml/2009/9/main" objectType="CheckBox" fmlaLink="$AZ$181" lockText="1" noThreeD="1"/>
</file>

<file path=xl/ctrlProps/ctrlProp142.xml><?xml version="1.0" encoding="utf-8"?>
<formControlPr xmlns="http://schemas.microsoft.com/office/spreadsheetml/2009/9/main" objectType="CheckBox" fmlaLink="$AV$177" lockText="1" noThreeD="1"/>
</file>

<file path=xl/ctrlProps/ctrlProp143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Radio" firstButton="1" fmlaLink="$BE$185" lockText="1" noThreeD="1"/>
</file>

<file path=xl/ctrlProps/ctrlProp145.xml><?xml version="1.0" encoding="utf-8"?>
<formControlPr xmlns="http://schemas.microsoft.com/office/spreadsheetml/2009/9/main" objectType="Radio" lockText="1" noThreeD="1"/>
</file>

<file path=xl/ctrlProps/ctrlProp146.xml><?xml version="1.0" encoding="utf-8"?>
<formControlPr xmlns="http://schemas.microsoft.com/office/spreadsheetml/2009/9/main" objectType="Radio" checked="Checked" lockText="1" noThreeD="1"/>
</file>

<file path=xl/ctrlProps/ctrlProp147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Radio" firstButton="1" fmlaLink="$BJ$185" lockText="1" noThreeD="1"/>
</file>

<file path=xl/ctrlProps/ctrlProp149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CheckBox" fmlaLink="$BP$79" lockText="1" noThreeD="1"/>
</file>

<file path=xl/ctrlProps/ctrlProp150.xml><?xml version="1.0" encoding="utf-8"?>
<formControlPr xmlns="http://schemas.microsoft.com/office/spreadsheetml/2009/9/main" objectType="Radio" checked="Checked" lockText="1" noThreeD="1"/>
</file>

<file path=xl/ctrlProps/ctrlProp151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Radio" firstButton="1" fmlaLink="$AV$201" lockText="1" noThreeD="1"/>
</file>

<file path=xl/ctrlProps/ctrlProp153.xml><?xml version="1.0" encoding="utf-8"?>
<formControlPr xmlns="http://schemas.microsoft.com/office/spreadsheetml/2009/9/main" objectType="Radio" lockText="1" noThreeD="1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firstButton="1" fmlaLink="$AZ$202" lockText="1" noThreeD="1"/>
</file>

<file path=xl/ctrlProps/ctrlProp156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CheckBox" fmlaLink="$AV$211" lockText="1" noThreeD="1"/>
</file>

<file path=xl/ctrlProps/ctrlProp159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CheckBox" fmlaLink="$BP$83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checked="Checked" lockText="1" noThreeD="1"/>
</file>

<file path=xl/ctrlProps/ctrlProp162.xml><?xml version="1.0" encoding="utf-8"?>
<formControlPr xmlns="http://schemas.microsoft.com/office/spreadsheetml/2009/9/main" objectType="Radio" checked="Checked" lockText="1" noThreeD="1"/>
</file>

<file path=xl/ctrlProps/ctrlProp163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Radio" firstButton="1" fmlaLink="$AV$22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Radio" lockText="1" noThreeD="1"/>
</file>

<file path=xl/ctrlProps/ctrlProp169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fmlaLink="$BJ$77" lockText="1" noThreeD="1"/>
</file>

<file path=xl/ctrlProps/ctrlProp170.xml><?xml version="1.0" encoding="utf-8"?>
<formControlPr xmlns="http://schemas.microsoft.com/office/spreadsheetml/2009/9/main" objectType="Radio" lockText="1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Radio" firstButton="1" fmlaLink="$AZ$224" lockText="1" noThreeD="1"/>
</file>

<file path=xl/ctrlProps/ctrlProp173.xml><?xml version="1.0" encoding="utf-8"?>
<formControlPr xmlns="http://schemas.microsoft.com/office/spreadsheetml/2009/9/main" objectType="Radio" lockText="1" noThreeD="1"/>
</file>

<file path=xl/ctrlProps/ctrlProp174.xml><?xml version="1.0" encoding="utf-8"?>
<formControlPr xmlns="http://schemas.microsoft.com/office/spreadsheetml/2009/9/main" objectType="Radio" checked="Checked" lockText="1" noThreeD="1"/>
</file>

<file path=xl/ctrlProps/ctrlProp175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Radio" firstButton="1" fmlaLink="$AZ$232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checked="Checked" lockText="1" noThreeD="1"/>
</file>

<file path=xl/ctrlProps/ctrlProp17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Radio" lockText="1" noThreeD="1"/>
</file>

<file path=xl/ctrlProps/ctrlProp180.xml><?xml version="1.0" encoding="utf-8"?>
<formControlPr xmlns="http://schemas.microsoft.com/office/spreadsheetml/2009/9/main" objectType="Radio" checked="Checked" firstButton="1" fmlaLink="$BE$224" lockText="1" noThreeD="1"/>
</file>

<file path=xl/ctrlProps/ctrlProp181.xml><?xml version="1.0" encoding="utf-8"?>
<formControlPr xmlns="http://schemas.microsoft.com/office/spreadsheetml/2009/9/main" objectType="Radio" lockText="1" noThreeD="1"/>
</file>

<file path=xl/ctrlProps/ctrlProp182.xml><?xml version="1.0" encoding="utf-8"?>
<formControlPr xmlns="http://schemas.microsoft.com/office/spreadsheetml/2009/9/main" objectType="Radio" lockText="1" noThreeD="1"/>
</file>

<file path=xl/ctrlProps/ctrlProp183.xml><?xml version="1.0" encoding="utf-8"?>
<formControlPr xmlns="http://schemas.microsoft.com/office/spreadsheetml/2009/9/main" objectType="Radio" firstButton="1" fmlaLink="$BE$232" lockText="1" noThreeD="1"/>
</file>

<file path=xl/ctrlProps/ctrlProp184.xml><?xml version="1.0" encoding="utf-8"?>
<formControlPr xmlns="http://schemas.microsoft.com/office/spreadsheetml/2009/9/main" objectType="Radio" checked="Checked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CheckBox" fmlaLink="$AV$248" lockText="1" noThreeD="1"/>
</file>

<file path=xl/ctrlProps/ctrlProp187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Radio" firstButton="1" fmlaLink="$AZ$264" lockText="1" noThreeD="1"/>
</file>

<file path=xl/ctrlProps/ctrlProp189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190.xml><?xml version="1.0" encoding="utf-8"?>
<formControlPr xmlns="http://schemas.microsoft.com/office/spreadsheetml/2009/9/main" objectType="Radio" checked="Checked" lockText="1" noThreeD="1"/>
</file>

<file path=xl/ctrlProps/ctrlProp191.xml><?xml version="1.0" encoding="utf-8"?>
<formControlPr xmlns="http://schemas.microsoft.com/office/spreadsheetml/2009/9/main" objectType="CheckBox" fmlaLink="$AV$270" lockText="1" noThreeD="1"/>
</file>

<file path=xl/ctrlProps/ctrlProp192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Radio" firstButton="1" fmlaLink="$AZ$246" lockText="1" noThreeD="1"/>
</file>

<file path=xl/ctrlProps/ctrlProp194.xml><?xml version="1.0" encoding="utf-8"?>
<formControlPr xmlns="http://schemas.microsoft.com/office/spreadsheetml/2009/9/main" objectType="Radio" lockText="1" noThreeD="1"/>
</file>

<file path=xl/ctrlProps/ctrlProp195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Radio" firstButton="1" fmlaLink="$BE$264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Radio" checked="Checked" lockText="1" noThreeD="1"/>
</file>

<file path=xl/ctrlProps/ctrlProp199.xml><?xml version="1.0" encoding="utf-8"?>
<formControlPr xmlns="http://schemas.microsoft.com/office/spreadsheetml/2009/9/main" objectType="Radio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Radio" firstButton="1" fmlaLink="$BH$245" lockText="1" noThreeD="1"/>
</file>

<file path=xl/ctrlProps/ctrlProp202.xml><?xml version="1.0" encoding="utf-8"?>
<formControlPr xmlns="http://schemas.microsoft.com/office/spreadsheetml/2009/9/main" objectType="Radio" lockText="1" noThreeD="1"/>
</file>

<file path=xl/ctrlProps/ctrlProp203.xml><?xml version="1.0" encoding="utf-8"?>
<formControlPr xmlns="http://schemas.microsoft.com/office/spreadsheetml/2009/9/main" objectType="Radio" lockText="1" noThreeD="1"/>
</file>

<file path=xl/ctrlProps/ctrlProp204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Radio" firstButton="1" fmlaLink="$BH$262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Radio" checked="Checked" firstButton="1" fmlaLink="$BE$246" lockText="1" noThreeD="1"/>
</file>

<file path=xl/ctrlProps/ctrlProp215.xml><?xml version="1.0" encoding="utf-8"?>
<formControlPr xmlns="http://schemas.microsoft.com/office/spreadsheetml/2009/9/main" objectType="Radio" lockText="1" noThreeD="1"/>
</file>

<file path=xl/ctrlProps/ctrlProp216.xml><?xml version="1.0" encoding="utf-8"?>
<formControlPr xmlns="http://schemas.microsoft.com/office/spreadsheetml/2009/9/main" objectType="Radio" checked="Checked" lockText="1" noThreeD="1"/>
</file>

<file path=xl/ctrlProps/ctrlProp217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Radio" firstButton="1" fmlaLink="$AZ$292" lockText="1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Radio" lockText="1" noThreeD="1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Radio" firstButton="1" fmlaLink="$AV$285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checked="Checked" lockText="1" noThreeD="1"/>
</file>

<file path=xl/ctrlProps/ctrlProp227.xml><?xml version="1.0" encoding="utf-8"?>
<formControlPr xmlns="http://schemas.microsoft.com/office/spreadsheetml/2009/9/main" objectType="Radio" firstButton="1" fmlaLink="$AZ$282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Radio" checked="Checked" lockText="1" noThreeD="1"/>
</file>

<file path=xl/ctrlProps/ctrlProp231.xml><?xml version="1.0" encoding="utf-8"?>
<formControlPr xmlns="http://schemas.microsoft.com/office/spreadsheetml/2009/9/main" objectType="Radio" checked="Checked" lockText="1" noThreeD="1"/>
</file>

<file path=xl/ctrlProps/ctrlProp232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CheckBox" fmlaLink="$AV$311" lockText="1" noThreeD="1"/>
</file>

<file path=xl/ctrlProps/ctrlProp234.xml><?xml version="1.0" encoding="utf-8"?>
<formControlPr xmlns="http://schemas.microsoft.com/office/spreadsheetml/2009/9/main" objectType="CheckBox" fmlaLink="$AV$318" lockText="1" noThreeD="1"/>
</file>

<file path=xl/ctrlProps/ctrlProp235.xml><?xml version="1.0" encoding="utf-8"?>
<formControlPr xmlns="http://schemas.microsoft.com/office/spreadsheetml/2009/9/main" objectType="CheckBox" fmlaLink="$AV$322" lockText="1" noThreeD="1"/>
</file>

<file path=xl/ctrlProps/ctrlProp236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CheckBox" fmlaLink="$AV$307" lockText="1" noThreeD="1"/>
</file>

<file path=xl/ctrlProps/ctrlProp238.xml><?xml version="1.0" encoding="utf-8"?>
<formControlPr xmlns="http://schemas.microsoft.com/office/spreadsheetml/2009/9/main" objectType="CheckBox" fmlaLink="$AV$309" lockText="1" noThreeD="1"/>
</file>

<file path=xl/ctrlProps/ctrlProp239.xml><?xml version="1.0" encoding="utf-8"?>
<formControlPr xmlns="http://schemas.microsoft.com/office/spreadsheetml/2009/9/main" objectType="CheckBox" fmlaLink="$AV$327" lockText="1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CheckBox" fmlaLink="$BL$308" lockText="1" noThreeD="1"/>
</file>

<file path=xl/ctrlProps/ctrlProp242.xml><?xml version="1.0" encoding="utf-8"?>
<formControlPr xmlns="http://schemas.microsoft.com/office/spreadsheetml/2009/9/main" objectType="CheckBox" fmlaLink="$BL$311" lockText="1" noThreeD="1"/>
</file>

<file path=xl/ctrlProps/ctrlProp243.xml><?xml version="1.0" encoding="utf-8"?>
<formControlPr xmlns="http://schemas.microsoft.com/office/spreadsheetml/2009/9/main" objectType="CheckBox" fmlaLink="$BL$314" lockText="1" noThreeD="1"/>
</file>

<file path=xl/ctrlProps/ctrlProp244.xml><?xml version="1.0" encoding="utf-8"?>
<formControlPr xmlns="http://schemas.microsoft.com/office/spreadsheetml/2009/9/main" objectType="CheckBox" fmlaLink="$BL$317" lockText="1" noThreeD="1"/>
</file>

<file path=xl/ctrlProps/ctrlProp245.xml><?xml version="1.0" encoding="utf-8"?>
<formControlPr xmlns="http://schemas.microsoft.com/office/spreadsheetml/2009/9/main" objectType="CheckBox" fmlaLink="$BL$320" lockText="1" noThreeD="1"/>
</file>

<file path=xl/ctrlProps/ctrlProp246.xml><?xml version="1.0" encoding="utf-8"?>
<formControlPr xmlns="http://schemas.microsoft.com/office/spreadsheetml/2009/9/main" objectType="Radio" firstButton="1" fmlaLink="$BH$307" lockText="1" noThreeD="1"/>
</file>

<file path=xl/ctrlProps/ctrlProp247.xml><?xml version="1.0" encoding="utf-8"?>
<formControlPr xmlns="http://schemas.microsoft.com/office/spreadsheetml/2009/9/main" objectType="Radio" lockText="1" noThreeD="1"/>
</file>

<file path=xl/ctrlProps/ctrlProp248.xml><?xml version="1.0" encoding="utf-8"?>
<formControlPr xmlns="http://schemas.microsoft.com/office/spreadsheetml/2009/9/main" objectType="Radio" lockText="1" noThreeD="1"/>
</file>

<file path=xl/ctrlProps/ctrlProp24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Radio" firstButton="1" fmlaLink="$BF$116" lockText="1" noThreeD="1"/>
</file>

<file path=xl/ctrlProps/ctrlProp250.xml><?xml version="1.0" encoding="utf-8"?>
<formControlPr xmlns="http://schemas.microsoft.com/office/spreadsheetml/2009/9/main" objectType="Radio" firstButton="1" fmlaLink="$BH$315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checked="Checked" lockText="1" noThreeD="1"/>
</file>

<file path=xl/ctrlProps/ctrlProp253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Radio" firstButton="1" fmlaLink="$BA$323" lockText="1" noThreeD="1"/>
</file>

<file path=xl/ctrlProps/ctrlProp255.xml><?xml version="1.0" encoding="utf-8"?>
<formControlPr xmlns="http://schemas.microsoft.com/office/spreadsheetml/2009/9/main" objectType="Radio" lockText="1" noThreeD="1"/>
</file>

<file path=xl/ctrlProps/ctrlProp256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Radio" firstButton="1" fmlaLink="$BH$322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checked="Checked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60.xml><?xml version="1.0" encoding="utf-8"?>
<formControlPr xmlns="http://schemas.microsoft.com/office/spreadsheetml/2009/9/main" objectType="Radio" checked="Checked" lockText="1" noThreeD="1"/>
</file>

<file path=xl/ctrlProps/ctrlProp261.xml><?xml version="1.0" encoding="utf-8"?>
<formControlPr xmlns="http://schemas.microsoft.com/office/spreadsheetml/2009/9/main" objectType="Radio" checked="Checked" lockText="1" noThreeD="1"/>
</file>

<file path=xl/ctrlProps/ctrlProp262.xml><?xml version="1.0" encoding="utf-8"?>
<formControlPr xmlns="http://schemas.microsoft.com/office/spreadsheetml/2009/9/main" objectType="Radio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CheckBox" fmlaLink="$AV$313" lockText="1" noThreeD="1"/>
</file>

<file path=xl/ctrlProps/ctrlProp265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Radio" firstButton="1" fmlaLink="$AV$12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firstButton="1" fmlaLink="$BJ$116" lockText="1" noThreeD="1"/>
</file>

<file path=xl/ctrlProps/ctrlProp270.xml><?xml version="1.0" encoding="utf-8"?>
<formControlPr xmlns="http://schemas.microsoft.com/office/spreadsheetml/2009/9/main" objectType="Radio" checked="Checked" lockText="1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Radio" firstButton="1" fmlaLink="$AY$27" lockText="1" noThreeD="1"/>
</file>

<file path=xl/ctrlProps/ctrlProp274.xml><?xml version="1.0" encoding="utf-8"?>
<formControlPr xmlns="http://schemas.microsoft.com/office/spreadsheetml/2009/9/main" objectType="Radio" lockText="1" noThreeD="1"/>
</file>

<file path=xl/ctrlProps/ctrlProp275.xml><?xml version="1.0" encoding="utf-8"?>
<formControlPr xmlns="http://schemas.microsoft.com/office/spreadsheetml/2009/9/main" objectType="Radio" checked="Checked" lockText="1" noThreeD="1"/>
</file>

<file path=xl/ctrlProps/ctrlProp276.xml><?xml version="1.0" encoding="utf-8"?>
<formControlPr xmlns="http://schemas.microsoft.com/office/spreadsheetml/2009/9/main" objectType="Radio" firstButton="1" fmlaLink="$AY$12" lockText="1" noThreeD="1"/>
</file>

<file path=xl/ctrlProps/ctrlProp277.xml><?xml version="1.0" encoding="utf-8"?>
<formControlPr xmlns="http://schemas.microsoft.com/office/spreadsheetml/2009/9/main" objectType="Radio" lockText="1" noThreeD="1"/>
</file>

<file path=xl/ctrlProps/ctrlProp278.xml><?xml version="1.0" encoding="utf-8"?>
<formControlPr xmlns="http://schemas.microsoft.com/office/spreadsheetml/2009/9/main" objectType="Radio" lockText="1" noThreeD="1"/>
</file>

<file path=xl/ctrlProps/ctrlProp279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Radio" checked="Checked" lockText="1" noThreeD="1"/>
</file>

<file path=xl/ctrlProps/ctrlProp281.xml><?xml version="1.0" encoding="utf-8"?>
<formControlPr xmlns="http://schemas.microsoft.com/office/spreadsheetml/2009/9/main" objectType="Radio" checked="Checked" lockText="1" noThreeD="1"/>
</file>

<file path=xl/ctrlProps/ctrlProp282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Radio" checked="Checked" firstButton="1" fmlaLink="$BH$232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CheckBox" fmlaLink="$BB$317" lockText="1" noThreeD="1"/>
</file>

<file path=xl/ctrlProps/ctrlProp287.xml><?xml version="1.0" encoding="utf-8"?>
<formControlPr xmlns="http://schemas.microsoft.com/office/spreadsheetml/2009/9/main" objectType="CheckBox" fmlaLink="$BB$320" lockText="1" noThreeD="1"/>
</file>

<file path=xl/ctrlProps/ctrlProp288.xml><?xml version="1.0" encoding="utf-8"?>
<formControlPr xmlns="http://schemas.microsoft.com/office/spreadsheetml/2009/9/main" objectType="Radio" lockText="1" noThreeD="1"/>
</file>

<file path=xl/ctrlProps/ctrlProp289.xml><?xml version="1.0" encoding="utf-8"?>
<formControlPr xmlns="http://schemas.microsoft.com/office/spreadsheetml/2009/9/main" objectType="Radio" checked="Checked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Radio" checked="Checked" lockText="1" noThreeD="1"/>
</file>

<file path=xl/ctrlProps/ctrlProp291.xml><?xml version="1.0" encoding="utf-8"?>
<formControlPr xmlns="http://schemas.microsoft.com/office/spreadsheetml/2009/9/main" objectType="CheckBox" fmlaLink="$AV$316" lockText="1" noThreeD="1"/>
</file>

<file path=xl/ctrlProps/ctrlProp292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Radio" firstButton="1" fmlaLink="$BK$326" lockText="1" noThreeD="1"/>
</file>

<file path=xl/ctrlProps/ctrlProp294.xml><?xml version="1.0" encoding="utf-8"?>
<formControlPr xmlns="http://schemas.microsoft.com/office/spreadsheetml/2009/9/main" objectType="Radio" lockText="1" noThreeD="1"/>
</file>

<file path=xl/ctrlProps/ctrlProp295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CheckBox" fmlaLink="$BO$118" lockText="1" noThreeD="1"/>
</file>

<file path=xl/ctrlProps/ctrlProp32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Radio" firstButton="1" fmlaLink="$BO$120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checked="Checked" lockText="1" noThreeD="1"/>
</file>

<file path=xl/ctrlProps/ctrlProp36.xml><?xml version="1.0" encoding="utf-8"?>
<formControlPr xmlns="http://schemas.microsoft.com/office/spreadsheetml/2009/9/main" objectType="Radio" checked="Checked" lockText="1" noThreeD="1"/>
</file>

<file path=xl/ctrlProps/ctrlProp37.xml><?xml version="1.0" encoding="utf-8"?>
<formControlPr xmlns="http://schemas.microsoft.com/office/spreadsheetml/2009/9/main" objectType="Radio" firstButton="1" fmlaLink="$BF$58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firstButton="1" fmlaLink="$AY$41" lockText="1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fmlaLink="$BJ$58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CheckBox" fmlaLink="$BS$60" lockText="1" noThreeD="1"/>
</file>

<file path=xl/ctrlProps/ctrlProp47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Radio" firstButton="1" fmlaLink="$BS$61" lockText="1" noThreeD="1"/>
</file>

<file path=xl/ctrlProps/ctrlProp49.xml><?xml version="1.0" encoding="utf-8"?>
<formControlPr xmlns="http://schemas.microsoft.com/office/spreadsheetml/2009/9/main" objectType="Radio" checked="Checked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CheckBox" fmlaLink="$BO$60" lockText="1" noThreeD="1"/>
</file>

<file path=xl/ctrlProps/ctrlProp51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Radio" firstButton="1" fmlaLink="$BO$61" lockText="1" noThreeD="1"/>
</file>

<file path=xl/ctrlProps/ctrlProp53.xml><?xml version="1.0" encoding="utf-8"?>
<formControlPr xmlns="http://schemas.microsoft.com/office/spreadsheetml/2009/9/main" objectType="Radio" checked="Checked" lockText="1" noThreeD="1"/>
</file>

<file path=xl/ctrlProps/ctrlProp54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Radio" firstButton="1" fmlaLink="$BF$132" lockText="1" noThreeD="1"/>
</file>

<file path=xl/ctrlProps/ctrlProp57.xml><?xml version="1.0" encoding="utf-8"?>
<formControlPr xmlns="http://schemas.microsoft.com/office/spreadsheetml/2009/9/main" objectType="Radio" firstButton="1" fmlaLink="BJ132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checked="Checked" lockText="1" noThreeD="1"/>
</file>

<file path=xl/ctrlProps/ctrlProp62.xml><?xml version="1.0" encoding="utf-8"?>
<formControlPr xmlns="http://schemas.microsoft.com/office/spreadsheetml/2009/9/main" objectType="Radio" checked="Checked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Radio" firstButton="1" fmlaLink="$BJ$100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CheckBox" fmlaLink="$BT$140" lockText="1" noThreeD="1"/>
</file>

<file path=xl/ctrlProps/ctrlProp6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firstButton="1" fmlaLink="$BO$40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checked="Checked" lockText="1" noThreeD="1"/>
</file>

<file path=xl/ctrlProps/ctrlProp76.xml><?xml version="1.0" encoding="utf-8"?>
<formControlPr xmlns="http://schemas.microsoft.com/office/spreadsheetml/2009/9/main" objectType="CheckBox" fmlaLink="$BP$140" lockText="1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checked="Checked" lockText="1" noThreeD="1"/>
</file>

<file path=xl/ctrlProps/ctrlProp8.xml><?xml version="1.0" encoding="utf-8"?>
<formControlPr xmlns="http://schemas.microsoft.com/office/spreadsheetml/2009/9/main" objectType="Radio" checked="Checked" lockText="1" noThreeD="1"/>
</file>

<file path=xl/ctrlProps/ctrlProp80.xml><?xml version="1.0" encoding="utf-8"?>
<formControlPr xmlns="http://schemas.microsoft.com/office/spreadsheetml/2009/9/main" objectType="CheckBox" fmlaLink="$BT$41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CheckBox" fmlaLink="$BG$72" lockText="1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CheckBox" fmlaLink="$AX$117" lockText="1" noThreeD="1"/>
</file>

<file path=xl/ctrlProps/ctrlProp85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Radio" firstButton="1" fmlaLink="$AX$119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checked="Checked" lockText="1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Radio" firstButton="1" fmlaLink="$BF$41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checked="Checked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fmlaLink="$BO$69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AJUDA!A85"/><Relationship Id="rId18" Type="http://schemas.openxmlformats.org/officeDocument/2006/relationships/image" Target="../media/image21.jpg"/><Relationship Id="rId26" Type="http://schemas.openxmlformats.org/officeDocument/2006/relationships/image" Target="../media/image29.jpg"/><Relationship Id="rId39" Type="http://schemas.openxmlformats.org/officeDocument/2006/relationships/image" Target="../media/image42.jpg"/><Relationship Id="rId21" Type="http://schemas.openxmlformats.org/officeDocument/2006/relationships/image" Target="../media/image24.jpg"/><Relationship Id="rId34" Type="http://schemas.openxmlformats.org/officeDocument/2006/relationships/image" Target="../media/image37.jpg"/><Relationship Id="rId42" Type="http://schemas.openxmlformats.org/officeDocument/2006/relationships/image" Target="../media/image45.jpg"/><Relationship Id="rId47" Type="http://schemas.openxmlformats.org/officeDocument/2006/relationships/image" Target="../media/image50.jpg"/><Relationship Id="rId50" Type="http://schemas.openxmlformats.org/officeDocument/2006/relationships/image" Target="../media/image53.jpg"/><Relationship Id="rId55" Type="http://schemas.openxmlformats.org/officeDocument/2006/relationships/image" Target="../media/image58.jpg"/><Relationship Id="rId63" Type="http://schemas.openxmlformats.org/officeDocument/2006/relationships/image" Target="../media/image66.jpg"/><Relationship Id="rId68" Type="http://schemas.openxmlformats.org/officeDocument/2006/relationships/image" Target="../media/image71.jpg"/><Relationship Id="rId76" Type="http://schemas.openxmlformats.org/officeDocument/2006/relationships/image" Target="../media/image79.jpg"/><Relationship Id="rId84" Type="http://schemas.openxmlformats.org/officeDocument/2006/relationships/image" Target="../media/image87.jpg"/><Relationship Id="rId7" Type="http://schemas.openxmlformats.org/officeDocument/2006/relationships/image" Target="../media/image16.jpg"/><Relationship Id="rId71" Type="http://schemas.openxmlformats.org/officeDocument/2006/relationships/image" Target="../media/image74.jpg"/><Relationship Id="rId2" Type="http://schemas.openxmlformats.org/officeDocument/2006/relationships/image" Target="../media/image11.jpg"/><Relationship Id="rId16" Type="http://schemas.openxmlformats.org/officeDocument/2006/relationships/hyperlink" Target="#AJUDA!A263"/><Relationship Id="rId29" Type="http://schemas.openxmlformats.org/officeDocument/2006/relationships/image" Target="../media/image32.jpg"/><Relationship Id="rId11" Type="http://schemas.openxmlformats.org/officeDocument/2006/relationships/image" Target="../media/image20.png"/><Relationship Id="rId24" Type="http://schemas.openxmlformats.org/officeDocument/2006/relationships/image" Target="../media/image27.jpg"/><Relationship Id="rId32" Type="http://schemas.openxmlformats.org/officeDocument/2006/relationships/image" Target="../media/image35.jpg"/><Relationship Id="rId37" Type="http://schemas.openxmlformats.org/officeDocument/2006/relationships/image" Target="../media/image40.jpg"/><Relationship Id="rId40" Type="http://schemas.openxmlformats.org/officeDocument/2006/relationships/image" Target="../media/image43.jpg"/><Relationship Id="rId45" Type="http://schemas.openxmlformats.org/officeDocument/2006/relationships/image" Target="../media/image48.jpg"/><Relationship Id="rId53" Type="http://schemas.openxmlformats.org/officeDocument/2006/relationships/image" Target="../media/image56.jpg"/><Relationship Id="rId58" Type="http://schemas.openxmlformats.org/officeDocument/2006/relationships/image" Target="../media/image61.jpg"/><Relationship Id="rId66" Type="http://schemas.openxmlformats.org/officeDocument/2006/relationships/image" Target="../media/image69.jpg"/><Relationship Id="rId74" Type="http://schemas.openxmlformats.org/officeDocument/2006/relationships/image" Target="../media/image77.jpg"/><Relationship Id="rId79" Type="http://schemas.openxmlformats.org/officeDocument/2006/relationships/image" Target="../media/image82.jpg"/><Relationship Id="rId87" Type="http://schemas.openxmlformats.org/officeDocument/2006/relationships/image" Target="../media/image90.jpg"/><Relationship Id="rId5" Type="http://schemas.openxmlformats.org/officeDocument/2006/relationships/image" Target="../media/image14.jpg"/><Relationship Id="rId61" Type="http://schemas.openxmlformats.org/officeDocument/2006/relationships/image" Target="../media/image64.jpg"/><Relationship Id="rId82" Type="http://schemas.openxmlformats.org/officeDocument/2006/relationships/image" Target="../media/image85.jpg"/><Relationship Id="rId19" Type="http://schemas.openxmlformats.org/officeDocument/2006/relationships/image" Target="../media/image22.jpg"/><Relationship Id="rId4" Type="http://schemas.openxmlformats.org/officeDocument/2006/relationships/image" Target="../media/image13.jpg"/><Relationship Id="rId9" Type="http://schemas.openxmlformats.org/officeDocument/2006/relationships/image" Target="../media/image18.jpg"/><Relationship Id="rId14" Type="http://schemas.openxmlformats.org/officeDocument/2006/relationships/hyperlink" Target="#AJUDA!A138"/><Relationship Id="rId22" Type="http://schemas.openxmlformats.org/officeDocument/2006/relationships/image" Target="../media/image25.jpg"/><Relationship Id="rId27" Type="http://schemas.openxmlformats.org/officeDocument/2006/relationships/image" Target="../media/image30.jpg"/><Relationship Id="rId30" Type="http://schemas.openxmlformats.org/officeDocument/2006/relationships/image" Target="../media/image33.jpg"/><Relationship Id="rId35" Type="http://schemas.openxmlformats.org/officeDocument/2006/relationships/image" Target="../media/image38.jpg"/><Relationship Id="rId43" Type="http://schemas.openxmlformats.org/officeDocument/2006/relationships/image" Target="../media/image46.jpg"/><Relationship Id="rId48" Type="http://schemas.openxmlformats.org/officeDocument/2006/relationships/image" Target="../media/image51.jpg"/><Relationship Id="rId56" Type="http://schemas.openxmlformats.org/officeDocument/2006/relationships/image" Target="../media/image59.jpg"/><Relationship Id="rId64" Type="http://schemas.openxmlformats.org/officeDocument/2006/relationships/image" Target="../media/image67.jpg"/><Relationship Id="rId69" Type="http://schemas.openxmlformats.org/officeDocument/2006/relationships/image" Target="../media/image72.jpg"/><Relationship Id="rId77" Type="http://schemas.openxmlformats.org/officeDocument/2006/relationships/image" Target="../media/image80.jpg"/><Relationship Id="rId8" Type="http://schemas.openxmlformats.org/officeDocument/2006/relationships/image" Target="../media/image17.jpg"/><Relationship Id="rId51" Type="http://schemas.openxmlformats.org/officeDocument/2006/relationships/image" Target="../media/image54.jpg"/><Relationship Id="rId72" Type="http://schemas.openxmlformats.org/officeDocument/2006/relationships/image" Target="../media/image75.jpg"/><Relationship Id="rId80" Type="http://schemas.openxmlformats.org/officeDocument/2006/relationships/image" Target="../media/image83.jpg"/><Relationship Id="rId85" Type="http://schemas.openxmlformats.org/officeDocument/2006/relationships/image" Target="../media/image88.jpg"/><Relationship Id="rId3" Type="http://schemas.openxmlformats.org/officeDocument/2006/relationships/image" Target="../media/image12.jpg"/><Relationship Id="rId12" Type="http://schemas.openxmlformats.org/officeDocument/2006/relationships/hyperlink" Target="#AJUDA!A1"/><Relationship Id="rId17" Type="http://schemas.openxmlformats.org/officeDocument/2006/relationships/hyperlink" Target="#AJUDA!A190"/><Relationship Id="rId25" Type="http://schemas.openxmlformats.org/officeDocument/2006/relationships/image" Target="../media/image28.jpg"/><Relationship Id="rId33" Type="http://schemas.openxmlformats.org/officeDocument/2006/relationships/image" Target="../media/image36.jpg"/><Relationship Id="rId38" Type="http://schemas.openxmlformats.org/officeDocument/2006/relationships/image" Target="../media/image41.jpg"/><Relationship Id="rId46" Type="http://schemas.openxmlformats.org/officeDocument/2006/relationships/image" Target="../media/image49.jpg"/><Relationship Id="rId59" Type="http://schemas.openxmlformats.org/officeDocument/2006/relationships/image" Target="../media/image62.jpg"/><Relationship Id="rId67" Type="http://schemas.openxmlformats.org/officeDocument/2006/relationships/image" Target="../media/image70.jpg"/><Relationship Id="rId20" Type="http://schemas.openxmlformats.org/officeDocument/2006/relationships/image" Target="../media/image23.jpg"/><Relationship Id="rId41" Type="http://schemas.openxmlformats.org/officeDocument/2006/relationships/image" Target="../media/image44.jpg"/><Relationship Id="rId54" Type="http://schemas.openxmlformats.org/officeDocument/2006/relationships/image" Target="../media/image57.jpg"/><Relationship Id="rId62" Type="http://schemas.openxmlformats.org/officeDocument/2006/relationships/image" Target="../media/image65.jpg"/><Relationship Id="rId70" Type="http://schemas.openxmlformats.org/officeDocument/2006/relationships/image" Target="../media/image73.jpg"/><Relationship Id="rId75" Type="http://schemas.openxmlformats.org/officeDocument/2006/relationships/image" Target="../media/image78.jpeg"/><Relationship Id="rId83" Type="http://schemas.openxmlformats.org/officeDocument/2006/relationships/image" Target="../media/image86.jpg"/><Relationship Id="rId88" Type="http://schemas.openxmlformats.org/officeDocument/2006/relationships/image" Target="../media/image91.jpg"/><Relationship Id="rId1" Type="http://schemas.openxmlformats.org/officeDocument/2006/relationships/image" Target="../media/image10.jpg"/><Relationship Id="rId6" Type="http://schemas.openxmlformats.org/officeDocument/2006/relationships/image" Target="../media/image15.jpg"/><Relationship Id="rId15" Type="http://schemas.openxmlformats.org/officeDocument/2006/relationships/hyperlink" Target="#AJUDA!A224"/><Relationship Id="rId23" Type="http://schemas.openxmlformats.org/officeDocument/2006/relationships/image" Target="../media/image26.jpg"/><Relationship Id="rId28" Type="http://schemas.openxmlformats.org/officeDocument/2006/relationships/image" Target="../media/image31.jpg"/><Relationship Id="rId36" Type="http://schemas.openxmlformats.org/officeDocument/2006/relationships/image" Target="../media/image39.jpg"/><Relationship Id="rId49" Type="http://schemas.openxmlformats.org/officeDocument/2006/relationships/image" Target="../media/image52.jpg"/><Relationship Id="rId57" Type="http://schemas.openxmlformats.org/officeDocument/2006/relationships/image" Target="../media/image60.jpg"/><Relationship Id="rId10" Type="http://schemas.openxmlformats.org/officeDocument/2006/relationships/image" Target="../media/image19.jpg"/><Relationship Id="rId31" Type="http://schemas.openxmlformats.org/officeDocument/2006/relationships/image" Target="../media/image34.jpg"/><Relationship Id="rId44" Type="http://schemas.openxmlformats.org/officeDocument/2006/relationships/image" Target="../media/image47.jpg"/><Relationship Id="rId52" Type="http://schemas.openxmlformats.org/officeDocument/2006/relationships/image" Target="../media/image55.jpg"/><Relationship Id="rId60" Type="http://schemas.openxmlformats.org/officeDocument/2006/relationships/image" Target="../media/image63.jpg"/><Relationship Id="rId65" Type="http://schemas.openxmlformats.org/officeDocument/2006/relationships/image" Target="../media/image68.jpg"/><Relationship Id="rId73" Type="http://schemas.openxmlformats.org/officeDocument/2006/relationships/image" Target="../media/image76.jpg"/><Relationship Id="rId78" Type="http://schemas.openxmlformats.org/officeDocument/2006/relationships/image" Target="../media/image81.jpg"/><Relationship Id="rId81" Type="http://schemas.openxmlformats.org/officeDocument/2006/relationships/image" Target="../media/image84.jpeg"/><Relationship Id="rId86" Type="http://schemas.openxmlformats.org/officeDocument/2006/relationships/image" Target="../media/image8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84667</xdr:colOff>
      <xdr:row>28</xdr:row>
      <xdr:rowOff>118533</xdr:rowOff>
    </xdr:from>
    <xdr:to>
      <xdr:col>7</xdr:col>
      <xdr:colOff>402167</xdr:colOff>
      <xdr:row>42</xdr:row>
      <xdr:rowOff>25500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17" y="309033"/>
          <a:ext cx="2146300" cy="3228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409573</xdr:colOff>
      <xdr:row>41</xdr:row>
      <xdr:rowOff>148169</xdr:rowOff>
    </xdr:from>
    <xdr:to>
      <xdr:col>6</xdr:col>
      <xdr:colOff>201082</xdr:colOff>
      <xdr:row>46</xdr:row>
      <xdr:rowOff>142876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 rot="5400000">
          <a:off x="1361016" y="9578976"/>
          <a:ext cx="1000123" cy="40534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9</xdr:col>
      <xdr:colOff>133350</xdr:colOff>
      <xdr:row>28</xdr:row>
      <xdr:rowOff>104776</xdr:rowOff>
    </xdr:from>
    <xdr:to>
      <xdr:col>13</xdr:col>
      <xdr:colOff>61150</xdr:colOff>
      <xdr:row>40</xdr:row>
      <xdr:rowOff>225729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295276"/>
          <a:ext cx="2366199" cy="295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380999</xdr:colOff>
      <xdr:row>39</xdr:row>
      <xdr:rowOff>63500</xdr:rowOff>
    </xdr:from>
    <xdr:to>
      <xdr:col>11</xdr:col>
      <xdr:colOff>219074</xdr:colOff>
      <xdr:row>46</xdr:row>
      <xdr:rowOff>161928</xdr:rowOff>
    </xdr:to>
    <xdr:sp macro="" textlink="">
      <xdr:nvSpPr>
        <xdr:cNvPr id="5" name="Seta: para a Direit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rot="5400000">
          <a:off x="3748614" y="9279468"/>
          <a:ext cx="1590678" cy="451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596900</xdr:colOff>
      <xdr:row>28</xdr:row>
      <xdr:rowOff>5291</xdr:rowOff>
    </xdr:from>
    <xdr:to>
      <xdr:col>18</xdr:col>
      <xdr:colOff>179916</xdr:colOff>
      <xdr:row>43</xdr:row>
      <xdr:rowOff>93738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2350" y="195791"/>
          <a:ext cx="2631017" cy="3656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352424</xdr:colOff>
      <xdr:row>43</xdr:row>
      <xdr:rowOff>84668</xdr:rowOff>
    </xdr:from>
    <xdr:to>
      <xdr:col>16</xdr:col>
      <xdr:colOff>232831</xdr:colOff>
      <xdr:row>46</xdr:row>
      <xdr:rowOff>116417</xdr:rowOff>
    </xdr:to>
    <xdr:sp macro="" textlink="">
      <xdr:nvSpPr>
        <xdr:cNvPr id="8" name="Seta: para a Direit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 rot="5400000">
          <a:off x="7304086" y="9706506"/>
          <a:ext cx="603249" cy="49424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18</xdr:col>
      <xdr:colOff>590550</xdr:colOff>
      <xdr:row>28</xdr:row>
      <xdr:rowOff>123825</xdr:rowOff>
    </xdr:from>
    <xdr:to>
      <xdr:col>23</xdr:col>
      <xdr:colOff>769448</xdr:colOff>
      <xdr:row>41</xdr:row>
      <xdr:rowOff>65011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4325"/>
          <a:ext cx="2467015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323850</xdr:colOff>
      <xdr:row>39</xdr:row>
      <xdr:rowOff>42338</xdr:rowOff>
    </xdr:from>
    <xdr:to>
      <xdr:col>21</xdr:col>
      <xdr:colOff>161925</xdr:colOff>
      <xdr:row>46</xdr:row>
      <xdr:rowOff>180980</xdr:rowOff>
    </xdr:to>
    <xdr:sp macro="" textlink="">
      <xdr:nvSpPr>
        <xdr:cNvPr id="10" name="Seta: para a Direit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 rot="5400000">
          <a:off x="9407525" y="9278413"/>
          <a:ext cx="1630892" cy="451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393700</xdr:colOff>
      <xdr:row>60</xdr:row>
      <xdr:rowOff>1056</xdr:rowOff>
    </xdr:from>
    <xdr:to>
      <xdr:col>21</xdr:col>
      <xdr:colOff>231775</xdr:colOff>
      <xdr:row>61</xdr:row>
      <xdr:rowOff>13607</xdr:rowOff>
    </xdr:to>
    <xdr:sp macro="" textlink="">
      <xdr:nvSpPr>
        <xdr:cNvPr id="11" name="Seta para baix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0041164" y="12723735"/>
          <a:ext cx="450397" cy="2166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351971</xdr:colOff>
      <xdr:row>60</xdr:row>
      <xdr:rowOff>1510</xdr:rowOff>
    </xdr:from>
    <xdr:to>
      <xdr:col>18</xdr:col>
      <xdr:colOff>190046</xdr:colOff>
      <xdr:row>61</xdr:row>
      <xdr:rowOff>14061</xdr:rowOff>
    </xdr:to>
    <xdr:sp macro="" textlink="">
      <xdr:nvSpPr>
        <xdr:cNvPr id="12" name="Seta para baix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570685" y="12724189"/>
          <a:ext cx="450397" cy="21665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349252</xdr:colOff>
      <xdr:row>53</xdr:row>
      <xdr:rowOff>105832</xdr:rowOff>
    </xdr:from>
    <xdr:to>
      <xdr:col>8</xdr:col>
      <xdr:colOff>33165</xdr:colOff>
      <xdr:row>66</xdr:row>
      <xdr:rowOff>39309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419" y="9683749"/>
          <a:ext cx="2139246" cy="2667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28575</xdr:colOff>
      <xdr:row>3</xdr:row>
      <xdr:rowOff>19049</xdr:rowOff>
    </xdr:from>
    <xdr:ext cx="3663068" cy="1047751"/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49"/>
          <a:ext cx="3663068" cy="1047751"/>
        </a:xfrm>
        <a:prstGeom prst="rect">
          <a:avLst/>
        </a:prstGeom>
      </xdr:spPr>
    </xdr:pic>
    <xdr:clientData/>
  </xdr:oneCellAnchor>
  <xdr:twoCellAnchor>
    <xdr:from>
      <xdr:col>23</xdr:col>
      <xdr:colOff>336247</xdr:colOff>
      <xdr:row>59</xdr:row>
      <xdr:rowOff>171903</xdr:rowOff>
    </xdr:from>
    <xdr:to>
      <xdr:col>23</xdr:col>
      <xdr:colOff>858761</xdr:colOff>
      <xdr:row>61</xdr:row>
      <xdr:rowOff>21168</xdr:rowOff>
    </xdr:to>
    <xdr:sp macro="" textlink="">
      <xdr:nvSpPr>
        <xdr:cNvPr id="17" name="Seta para baixo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11412461" y="12690474"/>
          <a:ext cx="522514" cy="25748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393700</xdr:colOff>
      <xdr:row>60</xdr:row>
      <xdr:rowOff>1055</xdr:rowOff>
    </xdr:from>
    <xdr:to>
      <xdr:col>34</xdr:col>
      <xdr:colOff>231775</xdr:colOff>
      <xdr:row>61</xdr:row>
      <xdr:rowOff>54427</xdr:rowOff>
    </xdr:to>
    <xdr:sp macro="" textlink="">
      <xdr:nvSpPr>
        <xdr:cNvPr id="18" name="Seta para baix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15211879" y="12723734"/>
          <a:ext cx="450396" cy="25747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30</xdr:col>
      <xdr:colOff>351970</xdr:colOff>
      <xdr:row>60</xdr:row>
      <xdr:rowOff>1510</xdr:rowOff>
    </xdr:from>
    <xdr:to>
      <xdr:col>31</xdr:col>
      <xdr:colOff>244928</xdr:colOff>
      <xdr:row>61</xdr:row>
      <xdr:rowOff>40821</xdr:rowOff>
    </xdr:to>
    <xdr:sp macro="" textlink="">
      <xdr:nvSpPr>
        <xdr:cNvPr id="19" name="Seta para baix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3755006" y="12724189"/>
          <a:ext cx="505279" cy="24341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36</xdr:col>
      <xdr:colOff>336247</xdr:colOff>
      <xdr:row>59</xdr:row>
      <xdr:rowOff>171902</xdr:rowOff>
    </xdr:from>
    <xdr:to>
      <xdr:col>37</xdr:col>
      <xdr:colOff>204107</xdr:colOff>
      <xdr:row>61</xdr:row>
      <xdr:rowOff>40820</xdr:rowOff>
    </xdr:to>
    <xdr:sp macro="" textlink="">
      <xdr:nvSpPr>
        <xdr:cNvPr id="20" name="Seta para baixo 1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16569568" y="12690473"/>
          <a:ext cx="480182" cy="277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16</xdr:col>
      <xdr:colOff>340179</xdr:colOff>
      <xdr:row>27</xdr:row>
      <xdr:rowOff>54429</xdr:rowOff>
    </xdr:from>
    <xdr:to>
      <xdr:col>17</xdr:col>
      <xdr:colOff>244929</xdr:colOff>
      <xdr:row>29</xdr:row>
      <xdr:rowOff>81643</xdr:rowOff>
    </xdr:to>
    <xdr:sp macro="" textlink="">
      <xdr:nvSpPr>
        <xdr:cNvPr id="22" name="Seta para a direita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rot="16200000">
          <a:off x="7946572" y="6245679"/>
          <a:ext cx="517071" cy="51707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23</xdr:col>
      <xdr:colOff>122464</xdr:colOff>
      <xdr:row>27</xdr:row>
      <xdr:rowOff>68036</xdr:rowOff>
    </xdr:from>
    <xdr:to>
      <xdr:col>23</xdr:col>
      <xdr:colOff>639535</xdr:colOff>
      <xdr:row>29</xdr:row>
      <xdr:rowOff>95250</xdr:rowOff>
    </xdr:to>
    <xdr:sp macro="" textlink="">
      <xdr:nvSpPr>
        <xdr:cNvPr id="23" name="Seta para a direit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 rot="16200000">
          <a:off x="11334750" y="6259286"/>
          <a:ext cx="517071" cy="51707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28</xdr:col>
      <xdr:colOff>0</xdr:colOff>
      <xdr:row>28</xdr:row>
      <xdr:rowOff>95250</xdr:rowOff>
    </xdr:from>
    <xdr:to>
      <xdr:col>37</xdr:col>
      <xdr:colOff>80962</xdr:colOff>
      <xdr:row>47</xdr:row>
      <xdr:rowOff>69056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0156" y="6536531"/>
          <a:ext cx="4057650" cy="4295775"/>
        </a:xfrm>
        <a:prstGeom prst="rect">
          <a:avLst/>
        </a:prstGeom>
      </xdr:spPr>
    </xdr:pic>
    <xdr:clientData/>
  </xdr:twoCellAnchor>
  <xdr:twoCellAnchor editAs="oneCell">
    <xdr:from>
      <xdr:col>37</xdr:col>
      <xdr:colOff>250031</xdr:colOff>
      <xdr:row>28</xdr:row>
      <xdr:rowOff>83344</xdr:rowOff>
    </xdr:from>
    <xdr:to>
      <xdr:col>45</xdr:col>
      <xdr:colOff>214312</xdr:colOff>
      <xdr:row>47</xdr:row>
      <xdr:rowOff>28575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5" y="6524625"/>
          <a:ext cx="4524375" cy="4267200"/>
        </a:xfrm>
        <a:prstGeom prst="rect">
          <a:avLst/>
        </a:prstGeom>
      </xdr:spPr>
    </xdr:pic>
    <xdr:clientData/>
  </xdr:twoCellAnchor>
  <xdr:twoCellAnchor editAs="oneCell">
    <xdr:from>
      <xdr:col>28</xdr:col>
      <xdr:colOff>83342</xdr:colOff>
      <xdr:row>1</xdr:row>
      <xdr:rowOff>47625</xdr:rowOff>
    </xdr:from>
    <xdr:to>
      <xdr:col>45</xdr:col>
      <xdr:colOff>226295</xdr:colOff>
      <xdr:row>27</xdr:row>
      <xdr:rowOff>238125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8" y="238125"/>
          <a:ext cx="8679735" cy="6143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309</xdr:row>
      <xdr:rowOff>76200</xdr:rowOff>
    </xdr:from>
    <xdr:to>
      <xdr:col>9</xdr:col>
      <xdr:colOff>2219325</xdr:colOff>
      <xdr:row>315</xdr:row>
      <xdr:rowOff>95250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73447275"/>
          <a:ext cx="2038350" cy="1800225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265</xdr:row>
      <xdr:rowOff>247650</xdr:rowOff>
    </xdr:from>
    <xdr:to>
      <xdr:col>11</xdr:col>
      <xdr:colOff>1847850</xdr:colOff>
      <xdr:row>269</xdr:row>
      <xdr:rowOff>76200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62531625"/>
          <a:ext cx="1800225" cy="100965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262</xdr:row>
      <xdr:rowOff>47625</xdr:rowOff>
    </xdr:from>
    <xdr:to>
      <xdr:col>11</xdr:col>
      <xdr:colOff>1866900</xdr:colOff>
      <xdr:row>265</xdr:row>
      <xdr:rowOff>171450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61445775"/>
          <a:ext cx="1800225" cy="1009650"/>
        </a:xfrm>
        <a:prstGeom prst="rect">
          <a:avLst/>
        </a:prstGeom>
      </xdr:spPr>
    </xdr:pic>
    <xdr:clientData/>
  </xdr:twoCellAnchor>
  <xdr:twoCellAnchor editAs="oneCell">
    <xdr:from>
      <xdr:col>28</xdr:col>
      <xdr:colOff>257175</xdr:colOff>
      <xdr:row>245</xdr:row>
      <xdr:rowOff>57150</xdr:rowOff>
    </xdr:from>
    <xdr:to>
      <xdr:col>31</xdr:col>
      <xdr:colOff>1104900</xdr:colOff>
      <xdr:row>251</xdr:row>
      <xdr:rowOff>9525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4125" y="56645175"/>
          <a:ext cx="2381250" cy="1914525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1238250</xdr:colOff>
      <xdr:row>247</xdr:row>
      <xdr:rowOff>381000</xdr:rowOff>
    </xdr:from>
    <xdr:to>
      <xdr:col>24</xdr:col>
      <xdr:colOff>276225</xdr:colOff>
      <xdr:row>252</xdr:row>
      <xdr:rowOff>152400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100" y="57559575"/>
          <a:ext cx="1609725" cy="1438275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245</xdr:row>
      <xdr:rowOff>66675</xdr:rowOff>
    </xdr:from>
    <xdr:to>
      <xdr:col>23</xdr:col>
      <xdr:colOff>161925</xdr:colOff>
      <xdr:row>249</xdr:row>
      <xdr:rowOff>95250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3575" y="56654700"/>
          <a:ext cx="1400175" cy="1362075"/>
        </a:xfrm>
        <a:prstGeom prst="rect">
          <a:avLst/>
        </a:prstGeom>
      </xdr:spPr>
    </xdr:pic>
    <xdr:clientData/>
  </xdr:twoCellAnchor>
  <xdr:twoCellAnchor editAs="oneCell">
    <xdr:from>
      <xdr:col>33</xdr:col>
      <xdr:colOff>314325</xdr:colOff>
      <xdr:row>67</xdr:row>
      <xdr:rowOff>28575</xdr:rowOff>
    </xdr:from>
    <xdr:to>
      <xdr:col>35</xdr:col>
      <xdr:colOff>590550</xdr:colOff>
      <xdr:row>72</xdr:row>
      <xdr:rowOff>333375</xdr:rowOff>
    </xdr:to>
    <xdr:pic>
      <xdr:nvPicPr>
        <xdr:cNvPr id="391" name="Imagem 390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2700" y="15487650"/>
          <a:ext cx="1847850" cy="1524000"/>
        </a:xfrm>
        <a:prstGeom prst="rect">
          <a:avLst/>
        </a:prstGeom>
      </xdr:spPr>
    </xdr:pic>
    <xdr:clientData/>
  </xdr:twoCellAnchor>
  <xdr:twoCellAnchor editAs="oneCell">
    <xdr:from>
      <xdr:col>31</xdr:col>
      <xdr:colOff>123825</xdr:colOff>
      <xdr:row>67</xdr:row>
      <xdr:rowOff>104775</xdr:rowOff>
    </xdr:from>
    <xdr:to>
      <xdr:col>32</xdr:col>
      <xdr:colOff>676275</xdr:colOff>
      <xdr:row>73</xdr:row>
      <xdr:rowOff>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4300" y="15563850"/>
          <a:ext cx="1847850" cy="1524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1095375</xdr:colOff>
      <xdr:row>85</xdr:row>
      <xdr:rowOff>228600</xdr:rowOff>
    </xdr:from>
    <xdr:to>
      <xdr:col>22</xdr:col>
      <xdr:colOff>409575</xdr:colOff>
      <xdr:row>91</xdr:row>
      <xdr:rowOff>371475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20526375"/>
          <a:ext cx="1866900" cy="18097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80</xdr:row>
      <xdr:rowOff>66675</xdr:rowOff>
    </xdr:from>
    <xdr:to>
      <xdr:col>13</xdr:col>
      <xdr:colOff>2266950</xdr:colOff>
      <xdr:row>86</xdr:row>
      <xdr:rowOff>200025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13458825"/>
          <a:ext cx="2171700" cy="1905000"/>
        </a:xfrm>
        <a:prstGeom prst="rect">
          <a:avLst/>
        </a:prstGeom>
      </xdr:spPr>
    </xdr:pic>
    <xdr:clientData/>
  </xdr:twoCellAnchor>
  <xdr:twoCellAnchor editAs="oneCell">
    <xdr:from>
      <xdr:col>31</xdr:col>
      <xdr:colOff>1087966</xdr:colOff>
      <xdr:row>57</xdr:row>
      <xdr:rowOff>238124</xdr:rowOff>
    </xdr:from>
    <xdr:to>
      <xdr:col>34</xdr:col>
      <xdr:colOff>581025</xdr:colOff>
      <xdr:row>60</xdr:row>
      <xdr:rowOff>444103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8441" y="12677774"/>
          <a:ext cx="2112434" cy="100607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41</xdr:row>
          <xdr:rowOff>190500</xdr:rowOff>
        </xdr:from>
        <xdr:to>
          <xdr:col>9</xdr:col>
          <xdr:colOff>1695450</xdr:colOff>
          <xdr:row>42</xdr:row>
          <xdr:rowOff>247650</xdr:rowOff>
        </xdr:to>
        <xdr:sp macro="" textlink="">
          <xdr:nvSpPr>
            <xdr:cNvPr id="2049" name="Option 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CHASSIS TILT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533400</xdr:colOff>
          <xdr:row>41</xdr:row>
          <xdr:rowOff>266700</xdr:rowOff>
        </xdr:from>
        <xdr:to>
          <xdr:col>13</xdr:col>
          <xdr:colOff>1962150</xdr:colOff>
          <xdr:row>42</xdr:row>
          <xdr:rowOff>276225</xdr:rowOff>
        </xdr:to>
        <xdr:sp macro="" textlink="">
          <xdr:nvSpPr>
            <xdr:cNvPr id="2050" name="Option 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CHASSIS CANGURU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43</xdr:row>
          <xdr:rowOff>123825</xdr:rowOff>
        </xdr:from>
        <xdr:to>
          <xdr:col>11</xdr:col>
          <xdr:colOff>1857375</xdr:colOff>
          <xdr:row>50</xdr:row>
          <xdr:rowOff>200025</xdr:rowOff>
        </xdr:to>
        <xdr:sp macro="" textlink="">
          <xdr:nvSpPr>
            <xdr:cNvPr id="2051" name="Group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CHASSIS TILT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44</xdr:row>
          <xdr:rowOff>219075</xdr:rowOff>
        </xdr:from>
        <xdr:to>
          <xdr:col>11</xdr:col>
          <xdr:colOff>1504950</xdr:colOff>
          <xdr:row>45</xdr:row>
          <xdr:rowOff>152400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45</xdr:row>
          <xdr:rowOff>200025</xdr:rowOff>
        </xdr:from>
        <xdr:to>
          <xdr:col>11</xdr:col>
          <xdr:colOff>1504950</xdr:colOff>
          <xdr:row>46</xdr:row>
          <xdr:rowOff>133350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46</xdr:row>
          <xdr:rowOff>190500</xdr:rowOff>
        </xdr:from>
        <xdr:to>
          <xdr:col>11</xdr:col>
          <xdr:colOff>1514475</xdr:colOff>
          <xdr:row>47</xdr:row>
          <xdr:rowOff>123825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47</xdr:row>
          <xdr:rowOff>180975</xdr:rowOff>
        </xdr:from>
        <xdr:to>
          <xdr:col>11</xdr:col>
          <xdr:colOff>1524000</xdr:colOff>
          <xdr:row>48</xdr:row>
          <xdr:rowOff>114300</xdr:rowOff>
        </xdr:to>
        <xdr:sp macro="" textlink="">
          <xdr:nvSpPr>
            <xdr:cNvPr id="2056" name="Option Butto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49</xdr:row>
          <xdr:rowOff>114300</xdr:rowOff>
        </xdr:from>
        <xdr:to>
          <xdr:col>11</xdr:col>
          <xdr:colOff>1495425</xdr:colOff>
          <xdr:row>50</xdr:row>
          <xdr:rowOff>47625</xdr:rowOff>
        </xdr:to>
        <xdr:sp macro="" textlink="">
          <xdr:nvSpPr>
            <xdr:cNvPr id="2058" name="Option 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704850</xdr:colOff>
          <xdr:row>78</xdr:row>
          <xdr:rowOff>285750</xdr:rowOff>
        </xdr:from>
        <xdr:to>
          <xdr:col>21</xdr:col>
          <xdr:colOff>104775</xdr:colOff>
          <xdr:row>85</xdr:row>
          <xdr:rowOff>0</xdr:rowOff>
        </xdr:to>
        <xdr:sp macro="" textlink="">
          <xdr:nvSpPr>
            <xdr:cNvPr id="2060" name="Group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MODULAÇÕES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266700</xdr:colOff>
          <xdr:row>79</xdr:row>
          <xdr:rowOff>19050</xdr:rowOff>
        </xdr:from>
        <xdr:to>
          <xdr:col>9</xdr:col>
          <xdr:colOff>2295525</xdr:colOff>
          <xdr:row>79</xdr:row>
          <xdr:rowOff>276225</xdr:rowOff>
        </xdr:to>
        <xdr:sp macro="" textlink="">
          <xdr:nvSpPr>
            <xdr:cNvPr id="2061" name="Option Butto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ENCOSTO AX2  ( ESTABILIZADORES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79</xdr:row>
          <xdr:rowOff>47625</xdr:rowOff>
        </xdr:from>
        <xdr:to>
          <xdr:col>13</xdr:col>
          <xdr:colOff>1990725</xdr:colOff>
          <xdr:row>79</xdr:row>
          <xdr:rowOff>276225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ENCOSTO BIOFORMA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523875</xdr:colOff>
          <xdr:row>79</xdr:row>
          <xdr:rowOff>47625</xdr:rowOff>
        </xdr:from>
        <xdr:to>
          <xdr:col>16</xdr:col>
          <xdr:colOff>752475</xdr:colOff>
          <xdr:row>79</xdr:row>
          <xdr:rowOff>276225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ENCOSTO ERGO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85725</xdr:colOff>
          <xdr:row>40</xdr:row>
          <xdr:rowOff>95250</xdr:rowOff>
        </xdr:from>
        <xdr:to>
          <xdr:col>16</xdr:col>
          <xdr:colOff>800100</xdr:colOff>
          <xdr:row>42</xdr:row>
          <xdr:rowOff>295275</xdr:rowOff>
        </xdr:to>
        <xdr:sp macro="" textlink="">
          <xdr:nvSpPr>
            <xdr:cNvPr id="2064" name="Group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CHASSIS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77</xdr:row>
          <xdr:rowOff>180975</xdr:rowOff>
        </xdr:from>
        <xdr:to>
          <xdr:col>17</xdr:col>
          <xdr:colOff>9525</xdr:colOff>
          <xdr:row>79</xdr:row>
          <xdr:rowOff>361950</xdr:rowOff>
        </xdr:to>
        <xdr:sp macro="" textlink="">
          <xdr:nvSpPr>
            <xdr:cNvPr id="2065" name="Group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ENCOSTO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190500</xdr:colOff>
          <xdr:row>81</xdr:row>
          <xdr:rowOff>85725</xdr:rowOff>
        </xdr:from>
        <xdr:to>
          <xdr:col>33</xdr:col>
          <xdr:colOff>304800</xdr:colOff>
          <xdr:row>82</xdr:row>
          <xdr:rowOff>9525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ABERTURA PARA PASSAGEM DO CINTO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409575</xdr:colOff>
          <xdr:row>88</xdr:row>
          <xdr:rowOff>219075</xdr:rowOff>
        </xdr:from>
        <xdr:to>
          <xdr:col>9</xdr:col>
          <xdr:colOff>2200275</xdr:colOff>
          <xdr:row>89</xdr:row>
          <xdr:rowOff>171450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ESPUMA VISCO ELÁSTICA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962025</xdr:colOff>
          <xdr:row>80</xdr:row>
          <xdr:rowOff>9525</xdr:rowOff>
        </xdr:from>
        <xdr:to>
          <xdr:col>20</xdr:col>
          <xdr:colOff>771525</xdr:colOff>
          <xdr:row>80</xdr:row>
          <xdr:rowOff>238125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971550</xdr:colOff>
          <xdr:row>81</xdr:row>
          <xdr:rowOff>9525</xdr:rowOff>
        </xdr:from>
        <xdr:to>
          <xdr:col>20</xdr:col>
          <xdr:colOff>781050</xdr:colOff>
          <xdr:row>81</xdr:row>
          <xdr:rowOff>238125</xdr:rowOff>
        </xdr:to>
        <xdr:sp macro="" textlink="">
          <xdr:nvSpPr>
            <xdr:cNvPr id="2070" name="Option Butto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971550</xdr:colOff>
          <xdr:row>81</xdr:row>
          <xdr:rowOff>285750</xdr:rowOff>
        </xdr:from>
        <xdr:to>
          <xdr:col>20</xdr:col>
          <xdr:colOff>781050</xdr:colOff>
          <xdr:row>82</xdr:row>
          <xdr:rowOff>219075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981075</xdr:colOff>
          <xdr:row>82</xdr:row>
          <xdr:rowOff>276225</xdr:rowOff>
        </xdr:from>
        <xdr:to>
          <xdr:col>20</xdr:col>
          <xdr:colOff>790575</xdr:colOff>
          <xdr:row>83</xdr:row>
          <xdr:rowOff>219075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981075</xdr:colOff>
          <xdr:row>83</xdr:row>
          <xdr:rowOff>266700</xdr:rowOff>
        </xdr:from>
        <xdr:to>
          <xdr:col>20</xdr:col>
          <xdr:colOff>790575</xdr:colOff>
          <xdr:row>84</xdr:row>
          <xdr:rowOff>209550</xdr:rowOff>
        </xdr:to>
        <xdr:sp macro="" textlink="">
          <xdr:nvSpPr>
            <xdr:cNvPr id="2073" name="Option Butto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46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47625</xdr:colOff>
      <xdr:row>0</xdr:row>
      <xdr:rowOff>133350</xdr:rowOff>
    </xdr:from>
    <xdr:to>
      <xdr:col>12</xdr:col>
      <xdr:colOff>57150</xdr:colOff>
      <xdr:row>7</xdr:row>
      <xdr:rowOff>77284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33425" y="133350"/>
          <a:ext cx="4972050" cy="127743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333375</xdr:colOff>
          <xdr:row>116</xdr:row>
          <xdr:rowOff>152400</xdr:rowOff>
        </xdr:from>
        <xdr:to>
          <xdr:col>18</xdr:col>
          <xdr:colOff>28575</xdr:colOff>
          <xdr:row>123</xdr:row>
          <xdr:rowOff>9525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MODULAÇÕES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116</xdr:row>
          <xdr:rowOff>180975</xdr:rowOff>
        </xdr:from>
        <xdr:to>
          <xdr:col>12</xdr:col>
          <xdr:colOff>66675</xdr:colOff>
          <xdr:row>118</xdr:row>
          <xdr:rowOff>323850</xdr:rowOff>
        </xdr:to>
        <xdr:sp macro="" textlink="">
          <xdr:nvSpPr>
            <xdr:cNvPr id="2076" name="Group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ESTABILIZADOR DE TRONCO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58</xdr:row>
          <xdr:rowOff>180975</xdr:rowOff>
        </xdr:from>
        <xdr:to>
          <xdr:col>13</xdr:col>
          <xdr:colOff>2314575</xdr:colOff>
          <xdr:row>60</xdr:row>
          <xdr:rowOff>323850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ASSENTO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676275</xdr:colOff>
          <xdr:row>118</xdr:row>
          <xdr:rowOff>28575</xdr:rowOff>
        </xdr:from>
        <xdr:to>
          <xdr:col>9</xdr:col>
          <xdr:colOff>2314575</xdr:colOff>
          <xdr:row>118</xdr:row>
          <xdr:rowOff>247650</xdr:rowOff>
        </xdr:to>
        <xdr:sp macro="" textlink="">
          <xdr:nvSpPr>
            <xdr:cNvPr id="2083" name="Option Butto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762000</xdr:colOff>
          <xdr:row>118</xdr:row>
          <xdr:rowOff>28575</xdr:rowOff>
        </xdr:from>
        <xdr:to>
          <xdr:col>12</xdr:col>
          <xdr:colOff>19050</xdr:colOff>
          <xdr:row>118</xdr:row>
          <xdr:rowOff>247650</xdr:rowOff>
        </xdr:to>
        <xdr:sp macro="" textlink="">
          <xdr:nvSpPr>
            <xdr:cNvPr id="2084" name="Option Butto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CURVO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228600</xdr:colOff>
          <xdr:row>119</xdr:row>
          <xdr:rowOff>38100</xdr:rowOff>
        </xdr:from>
        <xdr:to>
          <xdr:col>17</xdr:col>
          <xdr:colOff>152400</xdr:colOff>
          <xdr:row>119</xdr:row>
          <xdr:rowOff>266700</xdr:rowOff>
        </xdr:to>
        <xdr:sp macro="" textlink="">
          <xdr:nvSpPr>
            <xdr:cNvPr id="2085" name="Option Butto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"PP"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120</xdr:row>
          <xdr:rowOff>19050</xdr:rowOff>
        </xdr:from>
        <xdr:to>
          <xdr:col>17</xdr:col>
          <xdr:colOff>161925</xdr:colOff>
          <xdr:row>120</xdr:row>
          <xdr:rowOff>228600</xdr:rowOff>
        </xdr:to>
        <xdr:sp macro="" textlink="">
          <xdr:nvSpPr>
            <xdr:cNvPr id="2086" name="Option Butto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"P"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120</xdr:row>
          <xdr:rowOff>285750</xdr:rowOff>
        </xdr:from>
        <xdr:to>
          <xdr:col>17</xdr:col>
          <xdr:colOff>123825</xdr:colOff>
          <xdr:row>121</xdr:row>
          <xdr:rowOff>200025</xdr:rowOff>
        </xdr:to>
        <xdr:sp macro="" textlink="">
          <xdr:nvSpPr>
            <xdr:cNvPr id="2087" name="Option Butto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"M"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121</xdr:row>
          <xdr:rowOff>285750</xdr:rowOff>
        </xdr:from>
        <xdr:to>
          <xdr:col>17</xdr:col>
          <xdr:colOff>85725</xdr:colOff>
          <xdr:row>122</xdr:row>
          <xdr:rowOff>171450</xdr:rowOff>
        </xdr:to>
        <xdr:sp macro="" textlink="">
          <xdr:nvSpPr>
            <xdr:cNvPr id="2088" name="Option Button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"G"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523875</xdr:colOff>
          <xdr:row>116</xdr:row>
          <xdr:rowOff>38100</xdr:rowOff>
        </xdr:from>
        <xdr:to>
          <xdr:col>27</xdr:col>
          <xdr:colOff>190500</xdr:colOff>
          <xdr:row>117</xdr:row>
          <xdr:rowOff>47625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UTILIZAR  03  ESTABILIZADORES  AO INVÉS DE APENAS 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118</xdr:row>
          <xdr:rowOff>171450</xdr:rowOff>
        </xdr:from>
        <xdr:to>
          <xdr:col>27</xdr:col>
          <xdr:colOff>942975</xdr:colOff>
          <xdr:row>121</xdr:row>
          <xdr:rowOff>66675</xdr:rowOff>
        </xdr:to>
        <xdr:sp macro="" textlink="">
          <xdr:nvSpPr>
            <xdr:cNvPr id="2092" name="Group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NO CASO DE ESTABILIZADOR ADICIONAL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962025</xdr:colOff>
          <xdr:row>118</xdr:row>
          <xdr:rowOff>314325</xdr:rowOff>
        </xdr:from>
        <xdr:to>
          <xdr:col>27</xdr:col>
          <xdr:colOff>381000</xdr:colOff>
          <xdr:row>119</xdr:row>
          <xdr:rowOff>85725</xdr:rowOff>
        </xdr:to>
        <xdr:sp macro="" textlink="">
          <xdr:nvSpPr>
            <xdr:cNvPr id="2093" name="Option Butto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ACRESCENTAR 01 ADICIONAL NO LADO DIREITO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962025</xdr:colOff>
          <xdr:row>119</xdr:row>
          <xdr:rowOff>85725</xdr:rowOff>
        </xdr:from>
        <xdr:to>
          <xdr:col>27</xdr:col>
          <xdr:colOff>381000</xdr:colOff>
          <xdr:row>120</xdr:row>
          <xdr:rowOff>0</xdr:rowOff>
        </xdr:to>
        <xdr:sp macro="" textlink="">
          <xdr:nvSpPr>
            <xdr:cNvPr id="2094" name="Option Butto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ACRESCENTAR 01 ADICIONAL NO LADO ESQUERDO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533400</xdr:colOff>
          <xdr:row>117</xdr:row>
          <xdr:rowOff>209550</xdr:rowOff>
        </xdr:from>
        <xdr:to>
          <xdr:col>16</xdr:col>
          <xdr:colOff>638175</xdr:colOff>
          <xdr:row>118</xdr:row>
          <xdr:rowOff>133350</xdr:rowOff>
        </xdr:to>
        <xdr:sp macro="" textlink="">
          <xdr:nvSpPr>
            <xdr:cNvPr id="2095" name="Option Button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1076325</xdr:colOff>
          <xdr:row>79</xdr:row>
          <xdr:rowOff>123825</xdr:rowOff>
        </xdr:from>
        <xdr:to>
          <xdr:col>21</xdr:col>
          <xdr:colOff>19050</xdr:colOff>
          <xdr:row>79</xdr:row>
          <xdr:rowOff>352425</xdr:rowOff>
        </xdr:to>
        <xdr:sp macro="" textlink="">
          <xdr:nvSpPr>
            <xdr:cNvPr id="2096" name="Option Butto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60</xdr:row>
          <xdr:rowOff>76200</xdr:rowOff>
        </xdr:from>
        <xdr:to>
          <xdr:col>9</xdr:col>
          <xdr:colOff>1695450</xdr:colOff>
          <xdr:row>60</xdr:row>
          <xdr:rowOff>304800</xdr:rowOff>
        </xdr:to>
        <xdr:sp macro="" textlink="">
          <xdr:nvSpPr>
            <xdr:cNvPr id="2097" name="Option Button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ASSENTO BIOFORMA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60</xdr:row>
          <xdr:rowOff>76200</xdr:rowOff>
        </xdr:from>
        <xdr:to>
          <xdr:col>11</xdr:col>
          <xdr:colOff>1752600</xdr:colOff>
          <xdr:row>60</xdr:row>
          <xdr:rowOff>304800</xdr:rowOff>
        </xdr:to>
        <xdr:sp macro="" textlink="">
          <xdr:nvSpPr>
            <xdr:cNvPr id="2098" name="Option Butto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ASSENTO 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485775</xdr:colOff>
          <xdr:row>60</xdr:row>
          <xdr:rowOff>85725</xdr:rowOff>
        </xdr:from>
        <xdr:to>
          <xdr:col>13</xdr:col>
          <xdr:colOff>1876425</xdr:colOff>
          <xdr:row>60</xdr:row>
          <xdr:rowOff>304800</xdr:rowOff>
        </xdr:to>
        <xdr:sp macro="" textlink="">
          <xdr:nvSpPr>
            <xdr:cNvPr id="2099" name="Option Butto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ASSENTO ONDA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247650</xdr:colOff>
          <xdr:row>60</xdr:row>
          <xdr:rowOff>171450</xdr:rowOff>
        </xdr:from>
        <xdr:to>
          <xdr:col>16</xdr:col>
          <xdr:colOff>1104900</xdr:colOff>
          <xdr:row>68</xdr:row>
          <xdr:rowOff>9525</xdr:rowOff>
        </xdr:to>
        <xdr:sp macro="" textlink="">
          <xdr:nvSpPr>
            <xdr:cNvPr id="2100" name="Group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MISTO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714375</xdr:colOff>
          <xdr:row>62</xdr:row>
          <xdr:rowOff>142875</xdr:rowOff>
        </xdr:from>
        <xdr:to>
          <xdr:col>16</xdr:col>
          <xdr:colOff>781050</xdr:colOff>
          <xdr:row>63</xdr:row>
          <xdr:rowOff>66675</xdr:rowOff>
        </xdr:to>
        <xdr:sp macro="" textlink="">
          <xdr:nvSpPr>
            <xdr:cNvPr id="2101" name="Option Butto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704850</xdr:colOff>
          <xdr:row>63</xdr:row>
          <xdr:rowOff>152400</xdr:rowOff>
        </xdr:from>
        <xdr:to>
          <xdr:col>16</xdr:col>
          <xdr:colOff>771525</xdr:colOff>
          <xdr:row>64</xdr:row>
          <xdr:rowOff>76200</xdr:rowOff>
        </xdr:to>
        <xdr:sp macro="" textlink="">
          <xdr:nvSpPr>
            <xdr:cNvPr id="2102" name="Option Butto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704850</xdr:colOff>
          <xdr:row>64</xdr:row>
          <xdr:rowOff>171450</xdr:rowOff>
        </xdr:from>
        <xdr:to>
          <xdr:col>16</xdr:col>
          <xdr:colOff>771525</xdr:colOff>
          <xdr:row>65</xdr:row>
          <xdr:rowOff>95250</xdr:rowOff>
        </xdr:to>
        <xdr:sp macro="" textlink="">
          <xdr:nvSpPr>
            <xdr:cNvPr id="2103" name="Option Butto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714375</xdr:colOff>
          <xdr:row>65</xdr:row>
          <xdr:rowOff>190500</xdr:rowOff>
        </xdr:from>
        <xdr:to>
          <xdr:col>16</xdr:col>
          <xdr:colOff>781050</xdr:colOff>
          <xdr:row>66</xdr:row>
          <xdr:rowOff>114300</xdr:rowOff>
        </xdr:to>
        <xdr:sp macro="" textlink="">
          <xdr:nvSpPr>
            <xdr:cNvPr id="2104" name="Option Butto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723900</xdr:colOff>
          <xdr:row>66</xdr:row>
          <xdr:rowOff>209550</xdr:rowOff>
        </xdr:from>
        <xdr:to>
          <xdr:col>16</xdr:col>
          <xdr:colOff>790575</xdr:colOff>
          <xdr:row>67</xdr:row>
          <xdr:rowOff>133350</xdr:rowOff>
        </xdr:to>
        <xdr:sp macro="" textlink="">
          <xdr:nvSpPr>
            <xdr:cNvPr id="2105" name="Option Butto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190500</xdr:colOff>
          <xdr:row>60</xdr:row>
          <xdr:rowOff>76200</xdr:rowOff>
        </xdr:from>
        <xdr:to>
          <xdr:col>28</xdr:col>
          <xdr:colOff>933450</xdr:colOff>
          <xdr:row>60</xdr:row>
          <xdr:rowOff>304800</xdr:rowOff>
        </xdr:to>
        <xdr:sp macro="" textlink="">
          <xdr:nvSpPr>
            <xdr:cNvPr id="2107" name="Check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ELEVAÇÃO NO QUADRIL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47625</xdr:colOff>
          <xdr:row>61</xdr:row>
          <xdr:rowOff>95250</xdr:rowOff>
        </xdr:from>
        <xdr:to>
          <xdr:col>28</xdr:col>
          <xdr:colOff>666750</xdr:colOff>
          <xdr:row>64</xdr:row>
          <xdr:rowOff>104775</xdr:rowOff>
        </xdr:to>
        <xdr:sp macro="" textlink="">
          <xdr:nvSpPr>
            <xdr:cNvPr id="2110" name="Group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DETERMINE O LADO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381000</xdr:colOff>
          <xdr:row>62</xdr:row>
          <xdr:rowOff>152400</xdr:rowOff>
        </xdr:from>
        <xdr:to>
          <xdr:col>28</xdr:col>
          <xdr:colOff>152400</xdr:colOff>
          <xdr:row>63</xdr:row>
          <xdr:rowOff>85725</xdr:rowOff>
        </xdr:to>
        <xdr:sp macro="" textlink="">
          <xdr:nvSpPr>
            <xdr:cNvPr id="2111" name="Option Butto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DIREITO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390525</xdr:colOff>
          <xdr:row>63</xdr:row>
          <xdr:rowOff>47625</xdr:rowOff>
        </xdr:from>
        <xdr:to>
          <xdr:col>28</xdr:col>
          <xdr:colOff>161925</xdr:colOff>
          <xdr:row>63</xdr:row>
          <xdr:rowOff>276225</xdr:rowOff>
        </xdr:to>
        <xdr:sp macro="" textlink="">
          <xdr:nvSpPr>
            <xdr:cNvPr id="2112" name="Option Butto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ESQUERDO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219075</xdr:colOff>
          <xdr:row>60</xdr:row>
          <xdr:rowOff>104775</xdr:rowOff>
        </xdr:from>
        <xdr:to>
          <xdr:col>23</xdr:col>
          <xdr:colOff>619125</xdr:colOff>
          <xdr:row>60</xdr:row>
          <xdr:rowOff>333375</xdr:rowOff>
        </xdr:to>
        <xdr:sp macro="" textlink="">
          <xdr:nvSpPr>
            <xdr:cNvPr id="2113" name="Check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DIFERENÇA NO COMPRIMENTO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57150</xdr:colOff>
          <xdr:row>61</xdr:row>
          <xdr:rowOff>171450</xdr:rowOff>
        </xdr:from>
        <xdr:to>
          <xdr:col>23</xdr:col>
          <xdr:colOff>371475</xdr:colOff>
          <xdr:row>64</xdr:row>
          <xdr:rowOff>19050</xdr:rowOff>
        </xdr:to>
        <xdr:sp macro="" textlink="">
          <xdr:nvSpPr>
            <xdr:cNvPr id="2114" name="Group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DETERMINE O LADO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228600</xdr:colOff>
          <xdr:row>62</xdr:row>
          <xdr:rowOff>76200</xdr:rowOff>
        </xdr:from>
        <xdr:to>
          <xdr:col>22</xdr:col>
          <xdr:colOff>981075</xdr:colOff>
          <xdr:row>63</xdr:row>
          <xdr:rowOff>9525</xdr:rowOff>
        </xdr:to>
        <xdr:sp macro="" textlink="">
          <xdr:nvSpPr>
            <xdr:cNvPr id="2115" name="Option Butto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DIREITO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200025</xdr:colOff>
          <xdr:row>63</xdr:row>
          <xdr:rowOff>19050</xdr:rowOff>
        </xdr:from>
        <xdr:to>
          <xdr:col>22</xdr:col>
          <xdr:colOff>962025</xdr:colOff>
          <xdr:row>63</xdr:row>
          <xdr:rowOff>247650</xdr:rowOff>
        </xdr:to>
        <xdr:sp macro="" textlink="">
          <xdr:nvSpPr>
            <xdr:cNvPr id="2116" name="Option Butto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ESQUERDO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0</xdr:colOff>
      <xdr:row>38</xdr:row>
      <xdr:rowOff>38100</xdr:rowOff>
    </xdr:from>
    <xdr:to>
      <xdr:col>6</xdr:col>
      <xdr:colOff>142875</xdr:colOff>
      <xdr:row>42</xdr:row>
      <xdr:rowOff>276225</xdr:rowOff>
    </xdr:to>
    <xdr:sp macro="" textlink="">
      <xdr:nvSpPr>
        <xdr:cNvPr id="8" name="Seta: para a Direita Listrada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743325" y="1666875"/>
          <a:ext cx="275272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xdr:twoCellAnchor>
    <xdr:from>
      <xdr:col>5</xdr:col>
      <xdr:colOff>0</xdr:colOff>
      <xdr:row>56</xdr:row>
      <xdr:rowOff>104775</xdr:rowOff>
    </xdr:from>
    <xdr:to>
      <xdr:col>6</xdr:col>
      <xdr:colOff>57150</xdr:colOff>
      <xdr:row>60</xdr:row>
      <xdr:rowOff>352425</xdr:rowOff>
    </xdr:to>
    <xdr:sp macro="" textlink="">
      <xdr:nvSpPr>
        <xdr:cNvPr id="175" name="Seta: para a Direita Listrada 17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/>
      </xdr:nvSpPr>
      <xdr:spPr>
        <a:xfrm>
          <a:off x="3667125" y="6029325"/>
          <a:ext cx="227647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xdr:twoCellAnchor>
    <xdr:from>
      <xdr:col>5</xdr:col>
      <xdr:colOff>0</xdr:colOff>
      <xdr:row>75</xdr:row>
      <xdr:rowOff>104775</xdr:rowOff>
    </xdr:from>
    <xdr:to>
      <xdr:col>6</xdr:col>
      <xdr:colOff>57150</xdr:colOff>
      <xdr:row>79</xdr:row>
      <xdr:rowOff>352425</xdr:rowOff>
    </xdr:to>
    <xdr:sp macro="" textlink="">
      <xdr:nvSpPr>
        <xdr:cNvPr id="176" name="Seta: para a Direita Listrada 17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/>
      </xdr:nvSpPr>
      <xdr:spPr>
        <a:xfrm>
          <a:off x="3667125" y="6029325"/>
          <a:ext cx="227647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xdr:twoCellAnchor>
    <xdr:from>
      <xdr:col>5</xdr:col>
      <xdr:colOff>0</xdr:colOff>
      <xdr:row>114</xdr:row>
      <xdr:rowOff>104775</xdr:rowOff>
    </xdr:from>
    <xdr:to>
      <xdr:col>6</xdr:col>
      <xdr:colOff>57150</xdr:colOff>
      <xdr:row>118</xdr:row>
      <xdr:rowOff>352425</xdr:rowOff>
    </xdr:to>
    <xdr:sp macro="" textlink="">
      <xdr:nvSpPr>
        <xdr:cNvPr id="177" name="Seta: para a Direita Listrada 17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/>
      </xdr:nvSpPr>
      <xdr:spPr>
        <a:xfrm>
          <a:off x="3667125" y="10315575"/>
          <a:ext cx="227647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114300</xdr:colOff>
          <xdr:row>133</xdr:row>
          <xdr:rowOff>19050</xdr:rowOff>
        </xdr:from>
        <xdr:to>
          <xdr:col>17</xdr:col>
          <xdr:colOff>161925</xdr:colOff>
          <xdr:row>139</xdr:row>
          <xdr:rowOff>19050</xdr:rowOff>
        </xdr:to>
        <xdr:sp macro="" textlink="">
          <xdr:nvSpPr>
            <xdr:cNvPr id="2243" name="Group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MODULAÇÕES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132</xdr:row>
          <xdr:rowOff>180975</xdr:rowOff>
        </xdr:from>
        <xdr:to>
          <xdr:col>12</xdr:col>
          <xdr:colOff>9525</xdr:colOff>
          <xdr:row>134</xdr:row>
          <xdr:rowOff>323850</xdr:rowOff>
        </xdr:to>
        <xdr:sp macro="" textlink="">
          <xdr:nvSpPr>
            <xdr:cNvPr id="2244" name="Group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ESTABILIZADOR DE QUADRIL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723900</xdr:colOff>
          <xdr:row>134</xdr:row>
          <xdr:rowOff>0</xdr:rowOff>
        </xdr:from>
        <xdr:to>
          <xdr:col>9</xdr:col>
          <xdr:colOff>2362200</xdr:colOff>
          <xdr:row>134</xdr:row>
          <xdr:rowOff>219075</xdr:rowOff>
        </xdr:to>
        <xdr:sp macro="" textlink="">
          <xdr:nvSpPr>
            <xdr:cNvPr id="2245" name="Option Button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800100</xdr:colOff>
          <xdr:row>135</xdr:row>
          <xdr:rowOff>238125</xdr:rowOff>
        </xdr:from>
        <xdr:to>
          <xdr:col>16</xdr:col>
          <xdr:colOff>762000</xdr:colOff>
          <xdr:row>136</xdr:row>
          <xdr:rowOff>152400</xdr:rowOff>
        </xdr:to>
        <xdr:sp macro="" textlink="">
          <xdr:nvSpPr>
            <xdr:cNvPr id="2248" name="Option Button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1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 "P"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800100</xdr:colOff>
          <xdr:row>136</xdr:row>
          <xdr:rowOff>190500</xdr:rowOff>
        </xdr:from>
        <xdr:to>
          <xdr:col>16</xdr:col>
          <xdr:colOff>771525</xdr:colOff>
          <xdr:row>137</xdr:row>
          <xdr:rowOff>85725</xdr:rowOff>
        </xdr:to>
        <xdr:sp macro="" textlink="">
          <xdr:nvSpPr>
            <xdr:cNvPr id="2250" name="Option Butto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1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"M"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800100</xdr:colOff>
          <xdr:row>137</xdr:row>
          <xdr:rowOff>133350</xdr:rowOff>
        </xdr:from>
        <xdr:to>
          <xdr:col>16</xdr:col>
          <xdr:colOff>704850</xdr:colOff>
          <xdr:row>138</xdr:row>
          <xdr:rowOff>57150</xdr:rowOff>
        </xdr:to>
        <xdr:sp macro="" textlink="">
          <xdr:nvSpPr>
            <xdr:cNvPr id="2255" name="Option Button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1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"G"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0</xdr:colOff>
      <xdr:row>130</xdr:row>
      <xdr:rowOff>104775</xdr:rowOff>
    </xdr:from>
    <xdr:to>
      <xdr:col>6</xdr:col>
      <xdr:colOff>57150</xdr:colOff>
      <xdr:row>134</xdr:row>
      <xdr:rowOff>352425</xdr:rowOff>
    </xdr:to>
    <xdr:sp macro="" textlink="">
      <xdr:nvSpPr>
        <xdr:cNvPr id="192" name="Seta: para a Direita Listrada 19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/>
      </xdr:nvSpPr>
      <xdr:spPr>
        <a:xfrm>
          <a:off x="3667125" y="14601825"/>
          <a:ext cx="227647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428625</xdr:colOff>
          <xdr:row>134</xdr:row>
          <xdr:rowOff>28575</xdr:rowOff>
        </xdr:from>
        <xdr:to>
          <xdr:col>11</xdr:col>
          <xdr:colOff>2000250</xdr:colOff>
          <xdr:row>134</xdr:row>
          <xdr:rowOff>247650</xdr:rowOff>
        </xdr:to>
        <xdr:sp macro="" textlink="">
          <xdr:nvSpPr>
            <xdr:cNvPr id="2257" name="Option Butto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1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CURVO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2019300</xdr:colOff>
          <xdr:row>117</xdr:row>
          <xdr:rowOff>57150</xdr:rowOff>
        </xdr:from>
        <xdr:to>
          <xdr:col>11</xdr:col>
          <xdr:colOff>1038225</xdr:colOff>
          <xdr:row>117</xdr:row>
          <xdr:rowOff>276225</xdr:rowOff>
        </xdr:to>
        <xdr:sp macro="" textlink="">
          <xdr:nvSpPr>
            <xdr:cNvPr id="2258" name="Option Button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1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SEM ESTABILIZADOR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352425</xdr:colOff>
          <xdr:row>58</xdr:row>
          <xdr:rowOff>180975</xdr:rowOff>
        </xdr:from>
        <xdr:to>
          <xdr:col>11</xdr:col>
          <xdr:colOff>1752600</xdr:colOff>
          <xdr:row>59</xdr:row>
          <xdr:rowOff>219075</xdr:rowOff>
        </xdr:to>
        <xdr:sp macro="" textlink="">
          <xdr:nvSpPr>
            <xdr:cNvPr id="2259" name="Option Butto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1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79</xdr:row>
          <xdr:rowOff>66675</xdr:rowOff>
        </xdr:from>
        <xdr:to>
          <xdr:col>11</xdr:col>
          <xdr:colOff>2209800</xdr:colOff>
          <xdr:row>79</xdr:row>
          <xdr:rowOff>304800</xdr:rowOff>
        </xdr:to>
        <xdr:sp macro="" textlink="">
          <xdr:nvSpPr>
            <xdr:cNvPr id="2260" name="Option Butto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1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ENCOSTO PLANO (  MAIOR 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97</xdr:row>
          <xdr:rowOff>152400</xdr:rowOff>
        </xdr:from>
        <xdr:to>
          <xdr:col>14</xdr:col>
          <xdr:colOff>85725</xdr:colOff>
          <xdr:row>99</xdr:row>
          <xdr:rowOff>323850</xdr:rowOff>
        </xdr:to>
        <xdr:sp macro="" textlink="">
          <xdr:nvSpPr>
            <xdr:cNvPr id="2262" name="Group Box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1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O PADRÃO DO TECIDO DA CADEIRA</a:t>
              </a:r>
            </a:p>
          </xdr:txBody>
        </xdr:sp>
        <xdr:clientData/>
      </xdr:twoCellAnchor>
    </mc:Choice>
    <mc:Fallback/>
  </mc:AlternateContent>
  <xdr:twoCellAnchor>
    <xdr:from>
      <xdr:col>5</xdr:col>
      <xdr:colOff>0</xdr:colOff>
      <xdr:row>95</xdr:row>
      <xdr:rowOff>104775</xdr:rowOff>
    </xdr:from>
    <xdr:to>
      <xdr:col>6</xdr:col>
      <xdr:colOff>57150</xdr:colOff>
      <xdr:row>99</xdr:row>
      <xdr:rowOff>352425</xdr:rowOff>
    </xdr:to>
    <xdr:sp macro="" textlink="">
      <xdr:nvSpPr>
        <xdr:cNvPr id="90" name="Seta: para a Direita Listrada 8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>
          <a:off x="3667125" y="18888075"/>
          <a:ext cx="2276475" cy="1238250"/>
        </a:xfrm>
        <a:prstGeom prst="striped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QUER UMA AJUDA ?</a:t>
          </a:r>
        </a:p>
        <a:p>
          <a:pPr algn="ctr"/>
          <a:r>
            <a:rPr lang="pt-BR" sz="1600" b="1" u="sng">
              <a:solidFill>
                <a:srgbClr val="0000FF"/>
              </a:solidFill>
            </a:rPr>
            <a:t>CLIQUE AQUI...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819150</xdr:colOff>
          <xdr:row>98</xdr:row>
          <xdr:rowOff>276225</xdr:rowOff>
        </xdr:from>
        <xdr:to>
          <xdr:col>9</xdr:col>
          <xdr:colOff>2343150</xdr:colOff>
          <xdr:row>99</xdr:row>
          <xdr:rowOff>209550</xdr:rowOff>
        </xdr:to>
        <xdr:sp macro="" textlink="">
          <xdr:nvSpPr>
            <xdr:cNvPr id="2270" name="Option Button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1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CINZA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666750</xdr:colOff>
          <xdr:row>99</xdr:row>
          <xdr:rowOff>9525</xdr:rowOff>
        </xdr:from>
        <xdr:to>
          <xdr:col>11</xdr:col>
          <xdr:colOff>2314575</xdr:colOff>
          <xdr:row>99</xdr:row>
          <xdr:rowOff>238125</xdr:rowOff>
        </xdr:to>
        <xdr:sp macro="" textlink="">
          <xdr:nvSpPr>
            <xdr:cNvPr id="2271" name="Option Button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1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ROXO (LILÁS)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647700</xdr:colOff>
          <xdr:row>99</xdr:row>
          <xdr:rowOff>19050</xdr:rowOff>
        </xdr:from>
        <xdr:to>
          <xdr:col>13</xdr:col>
          <xdr:colOff>1847850</xdr:colOff>
          <xdr:row>99</xdr:row>
          <xdr:rowOff>228600</xdr:rowOff>
        </xdr:to>
        <xdr:sp macro="" textlink="">
          <xdr:nvSpPr>
            <xdr:cNvPr id="2272" name="Option Button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1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AZUL ESCURO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228600</xdr:colOff>
          <xdr:row>66</xdr:row>
          <xdr:rowOff>57150</xdr:rowOff>
        </xdr:from>
        <xdr:to>
          <xdr:col>35</xdr:col>
          <xdr:colOff>847725</xdr:colOff>
          <xdr:row>66</xdr:row>
          <xdr:rowOff>238125</xdr:rowOff>
        </xdr:to>
        <xdr:sp macro="" textlink="">
          <xdr:nvSpPr>
            <xdr:cNvPr id="2276" name="Check Box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1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ACETABULO INDEPENDENTE PARA CEAA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0</xdr:colOff>
          <xdr:row>43</xdr:row>
          <xdr:rowOff>285750</xdr:rowOff>
        </xdr:from>
        <xdr:to>
          <xdr:col>25</xdr:col>
          <xdr:colOff>38100</xdr:colOff>
          <xdr:row>50</xdr:row>
          <xdr:rowOff>85725</xdr:rowOff>
        </xdr:to>
        <xdr:sp macro="" textlink="">
          <xdr:nvSpPr>
            <xdr:cNvPr id="2278" name="Group Box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1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MODELOS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590550</xdr:colOff>
          <xdr:row>44</xdr:row>
          <xdr:rowOff>114300</xdr:rowOff>
        </xdr:from>
        <xdr:to>
          <xdr:col>23</xdr:col>
          <xdr:colOff>1190625</xdr:colOff>
          <xdr:row>45</xdr:row>
          <xdr:rowOff>38100</xdr:rowOff>
        </xdr:to>
        <xdr:sp macro="" textlink="">
          <xdr:nvSpPr>
            <xdr:cNvPr id="2279" name="Option Button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1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OTOBRAS  -  K2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600075</xdr:colOff>
          <xdr:row>44</xdr:row>
          <xdr:rowOff>266700</xdr:rowOff>
        </xdr:from>
        <xdr:to>
          <xdr:col>23</xdr:col>
          <xdr:colOff>1209675</xdr:colOff>
          <xdr:row>45</xdr:row>
          <xdr:rowOff>228600</xdr:rowOff>
        </xdr:to>
        <xdr:sp macro="" textlink="">
          <xdr:nvSpPr>
            <xdr:cNvPr id="2280" name="Option Button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1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OTOBRAS  - ULX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561975</xdr:colOff>
          <xdr:row>46</xdr:row>
          <xdr:rowOff>228600</xdr:rowOff>
        </xdr:from>
        <xdr:to>
          <xdr:col>23</xdr:col>
          <xdr:colOff>581025</xdr:colOff>
          <xdr:row>47</xdr:row>
          <xdr:rowOff>209550</xdr:rowOff>
        </xdr:to>
        <xdr:sp macro="" textlink="">
          <xdr:nvSpPr>
            <xdr:cNvPr id="2282" name="Option Button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1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OTTOBOCK  -  M0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552450</xdr:colOff>
          <xdr:row>47</xdr:row>
          <xdr:rowOff>142875</xdr:rowOff>
        </xdr:from>
        <xdr:to>
          <xdr:col>23</xdr:col>
          <xdr:colOff>771525</xdr:colOff>
          <xdr:row>48</xdr:row>
          <xdr:rowOff>66675</xdr:rowOff>
        </xdr:to>
        <xdr:sp macro="" textlink="">
          <xdr:nvSpPr>
            <xdr:cNvPr id="2283" name="Option Button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1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OTTOBOCK - M2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561975</xdr:colOff>
          <xdr:row>48</xdr:row>
          <xdr:rowOff>19050</xdr:rowOff>
        </xdr:from>
        <xdr:to>
          <xdr:col>23</xdr:col>
          <xdr:colOff>323850</xdr:colOff>
          <xdr:row>48</xdr:row>
          <xdr:rowOff>238125</xdr:rowOff>
        </xdr:to>
        <xdr:sp macro="" textlink="">
          <xdr:nvSpPr>
            <xdr:cNvPr id="2284" name="Option Button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1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OTTOBOCK - M6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257175</xdr:colOff>
          <xdr:row>49</xdr:row>
          <xdr:rowOff>47625</xdr:rowOff>
        </xdr:from>
        <xdr:to>
          <xdr:col>23</xdr:col>
          <xdr:colOff>1028700</xdr:colOff>
          <xdr:row>49</xdr:row>
          <xdr:rowOff>257175</xdr:rowOff>
        </xdr:to>
        <xdr:sp macro="" textlink="">
          <xdr:nvSpPr>
            <xdr:cNvPr id="2285" name="Option Button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1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VOU ESCREVER O MODELO ABAIXO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85725</xdr:colOff>
          <xdr:row>66</xdr:row>
          <xdr:rowOff>123825</xdr:rowOff>
        </xdr:from>
        <xdr:to>
          <xdr:col>32</xdr:col>
          <xdr:colOff>723900</xdr:colOff>
          <xdr:row>67</xdr:row>
          <xdr:rowOff>19050</xdr:rowOff>
        </xdr:to>
        <xdr:sp macro="" textlink="">
          <xdr:nvSpPr>
            <xdr:cNvPr id="2288" name="Check Box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1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INCLUIR CONTRA EXTENSOR ( CEAA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123825</xdr:colOff>
          <xdr:row>65</xdr:row>
          <xdr:rowOff>66675</xdr:rowOff>
        </xdr:from>
        <xdr:to>
          <xdr:col>42</xdr:col>
          <xdr:colOff>171450</xdr:colOff>
          <xdr:row>73</xdr:row>
          <xdr:rowOff>19050</xdr:rowOff>
        </xdr:to>
        <xdr:sp macro="" textlink="">
          <xdr:nvSpPr>
            <xdr:cNvPr id="2289" name="Group Box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1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ACETABULO INDEPENDENTE NO CONTRA EXTENSOR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247650</xdr:colOff>
          <xdr:row>88</xdr:row>
          <xdr:rowOff>66675</xdr:rowOff>
        </xdr:from>
        <xdr:to>
          <xdr:col>9</xdr:col>
          <xdr:colOff>2371725</xdr:colOff>
          <xdr:row>89</xdr:row>
          <xdr:rowOff>219075</xdr:rowOff>
        </xdr:to>
        <xdr:sp macro="" textlink="">
          <xdr:nvSpPr>
            <xdr:cNvPr id="2290" name="Group Box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1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ESPUMA É APENAS PARA O ENCOSTO AX2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142875</xdr:colOff>
          <xdr:row>120</xdr:row>
          <xdr:rowOff>28575</xdr:rowOff>
        </xdr:from>
        <xdr:to>
          <xdr:col>27</xdr:col>
          <xdr:colOff>790575</xdr:colOff>
          <xdr:row>120</xdr:row>
          <xdr:rowOff>238125</xdr:rowOff>
        </xdr:to>
        <xdr:sp macro="" textlink="">
          <xdr:nvSpPr>
            <xdr:cNvPr id="2293" name="Option Button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1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495300</xdr:colOff>
          <xdr:row>42</xdr:row>
          <xdr:rowOff>333375</xdr:rowOff>
        </xdr:from>
        <xdr:to>
          <xdr:col>23</xdr:col>
          <xdr:colOff>1181100</xdr:colOff>
          <xdr:row>43</xdr:row>
          <xdr:rowOff>104775</xdr:rowOff>
        </xdr:to>
        <xdr:sp macro="" textlink="">
          <xdr:nvSpPr>
            <xdr:cNvPr id="2294" name="Check Box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1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VOU ESCOLHER OUTROS MODELOS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533400</xdr:colOff>
          <xdr:row>41</xdr:row>
          <xdr:rowOff>123825</xdr:rowOff>
        </xdr:from>
        <xdr:to>
          <xdr:col>13</xdr:col>
          <xdr:colOff>2105025</xdr:colOff>
          <xdr:row>42</xdr:row>
          <xdr:rowOff>47625</xdr:rowOff>
        </xdr:to>
        <xdr:sp macro="" textlink="">
          <xdr:nvSpPr>
            <xdr:cNvPr id="2295" name="Option Button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1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CADEIRA LEITO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476250</xdr:colOff>
          <xdr:row>58</xdr:row>
          <xdr:rowOff>161925</xdr:rowOff>
        </xdr:from>
        <xdr:to>
          <xdr:col>17</xdr:col>
          <xdr:colOff>76200</xdr:colOff>
          <xdr:row>59</xdr:row>
          <xdr:rowOff>190500</xdr:rowOff>
        </xdr:to>
        <xdr:sp macro="" textlink="">
          <xdr:nvSpPr>
            <xdr:cNvPr id="2297" name="Check Box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1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 IREI UTILIZAR TAMANHO MISTO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962025</xdr:colOff>
          <xdr:row>76</xdr:row>
          <xdr:rowOff>171450</xdr:rowOff>
        </xdr:from>
        <xdr:to>
          <xdr:col>34</xdr:col>
          <xdr:colOff>219075</xdr:colOff>
          <xdr:row>93</xdr:row>
          <xdr:rowOff>95250</xdr:rowOff>
        </xdr:to>
        <xdr:sp macro="" textlink="">
          <xdr:nvSpPr>
            <xdr:cNvPr id="2301" name="Group Box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1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ESTA ABERTURA É APENAS PARA O ENCOSTO  AX2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</xdr:colOff>
          <xdr:row>79</xdr:row>
          <xdr:rowOff>57150</xdr:rowOff>
        </xdr:from>
        <xdr:to>
          <xdr:col>28</xdr:col>
          <xdr:colOff>9525</xdr:colOff>
          <xdr:row>79</xdr:row>
          <xdr:rowOff>257175</xdr:rowOff>
        </xdr:to>
        <xdr:sp macro="" textlink="">
          <xdr:nvSpPr>
            <xdr:cNvPr id="2302" name="Check Box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1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RESTRINGIDOR DE OMBRO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847725</xdr:colOff>
          <xdr:row>86</xdr:row>
          <xdr:rowOff>228600</xdr:rowOff>
        </xdr:from>
        <xdr:to>
          <xdr:col>28</xdr:col>
          <xdr:colOff>247650</xdr:colOff>
          <xdr:row>92</xdr:row>
          <xdr:rowOff>9525</xdr:rowOff>
        </xdr:to>
        <xdr:sp macro="" textlink="">
          <xdr:nvSpPr>
            <xdr:cNvPr id="2303" name="Group Box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1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DO RESTRINGIDOR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190500</xdr:colOff>
          <xdr:row>88</xdr:row>
          <xdr:rowOff>66675</xdr:rowOff>
        </xdr:from>
        <xdr:to>
          <xdr:col>28</xdr:col>
          <xdr:colOff>180975</xdr:colOff>
          <xdr:row>89</xdr:row>
          <xdr:rowOff>0</xdr:rowOff>
        </xdr:to>
        <xdr:sp macro="" textlink="">
          <xdr:nvSpPr>
            <xdr:cNvPr id="2304" name="Option Button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1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 -  15 X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190500</xdr:colOff>
          <xdr:row>88</xdr:row>
          <xdr:rowOff>257175</xdr:rowOff>
        </xdr:from>
        <xdr:to>
          <xdr:col>27</xdr:col>
          <xdr:colOff>666750</xdr:colOff>
          <xdr:row>89</xdr:row>
          <xdr:rowOff>190500</xdr:rowOff>
        </xdr:to>
        <xdr:sp macro="" textlink="">
          <xdr:nvSpPr>
            <xdr:cNvPr id="2305" name="Option Button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1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 - 20 X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219075</xdr:colOff>
          <xdr:row>90</xdr:row>
          <xdr:rowOff>209550</xdr:rowOff>
        </xdr:from>
        <xdr:to>
          <xdr:col>27</xdr:col>
          <xdr:colOff>714375</xdr:colOff>
          <xdr:row>91</xdr:row>
          <xdr:rowOff>180975</xdr:rowOff>
        </xdr:to>
        <xdr:sp macro="" textlink="">
          <xdr:nvSpPr>
            <xdr:cNvPr id="2306" name="Option Butto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1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43</xdr:row>
          <xdr:rowOff>95250</xdr:rowOff>
        </xdr:from>
        <xdr:to>
          <xdr:col>17</xdr:col>
          <xdr:colOff>19050</xdr:colOff>
          <xdr:row>50</xdr:row>
          <xdr:rowOff>276225</xdr:rowOff>
        </xdr:to>
        <xdr:sp macro="" textlink="">
          <xdr:nvSpPr>
            <xdr:cNvPr id="2307" name="Group Box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1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CHASSIS CANGURU (FREEDOM)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266700</xdr:colOff>
          <xdr:row>44</xdr:row>
          <xdr:rowOff>57150</xdr:rowOff>
        </xdr:from>
        <xdr:to>
          <xdr:col>16</xdr:col>
          <xdr:colOff>971550</xdr:colOff>
          <xdr:row>45</xdr:row>
          <xdr:rowOff>0</xdr:rowOff>
        </xdr:to>
        <xdr:sp macro="" textlink="">
          <xdr:nvSpPr>
            <xdr:cNvPr id="2308" name="Option Butto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1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33   (Expansão =&gt; 34 )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257175</xdr:colOff>
          <xdr:row>45</xdr:row>
          <xdr:rowOff>28575</xdr:rowOff>
        </xdr:from>
        <xdr:to>
          <xdr:col>16</xdr:col>
          <xdr:colOff>962025</xdr:colOff>
          <xdr:row>45</xdr:row>
          <xdr:rowOff>247650</xdr:rowOff>
        </xdr:to>
        <xdr:sp macro="" textlink="">
          <xdr:nvSpPr>
            <xdr:cNvPr id="2309" name="Option Button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1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37   (Expansão =&gt; 36 )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257175</xdr:colOff>
          <xdr:row>45</xdr:row>
          <xdr:rowOff>285750</xdr:rowOff>
        </xdr:from>
        <xdr:to>
          <xdr:col>16</xdr:col>
          <xdr:colOff>1038225</xdr:colOff>
          <xdr:row>46</xdr:row>
          <xdr:rowOff>209550</xdr:rowOff>
        </xdr:to>
        <xdr:sp macro="" textlink="">
          <xdr:nvSpPr>
            <xdr:cNvPr id="2310" name="Option Butto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1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41   (Expansão =&gt; 40 )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257175</xdr:colOff>
          <xdr:row>46</xdr:row>
          <xdr:rowOff>238125</xdr:rowOff>
        </xdr:from>
        <xdr:to>
          <xdr:col>16</xdr:col>
          <xdr:colOff>1038225</xdr:colOff>
          <xdr:row>47</xdr:row>
          <xdr:rowOff>161925</xdr:rowOff>
        </xdr:to>
        <xdr:sp macro="" textlink="">
          <xdr:nvSpPr>
            <xdr:cNvPr id="2311" name="Option Butto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1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45   (Expansão =&gt; 44 )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266700</xdr:colOff>
          <xdr:row>47</xdr:row>
          <xdr:rowOff>219075</xdr:rowOff>
        </xdr:from>
        <xdr:to>
          <xdr:col>16</xdr:col>
          <xdr:colOff>1009650</xdr:colOff>
          <xdr:row>48</xdr:row>
          <xdr:rowOff>142875</xdr:rowOff>
        </xdr:to>
        <xdr:sp macro="" textlink="">
          <xdr:nvSpPr>
            <xdr:cNvPr id="2312" name="Option Butto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1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50   (Expansão =&gt; 46 )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752475</xdr:colOff>
          <xdr:row>60</xdr:row>
          <xdr:rowOff>409575</xdr:rowOff>
        </xdr:from>
        <xdr:to>
          <xdr:col>16</xdr:col>
          <xdr:colOff>866775</xdr:colOff>
          <xdr:row>61</xdr:row>
          <xdr:rowOff>171450</xdr:rowOff>
        </xdr:to>
        <xdr:sp macro="" textlink="">
          <xdr:nvSpPr>
            <xdr:cNvPr id="2314" name="Option Butto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1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161925</xdr:colOff>
          <xdr:row>68</xdr:row>
          <xdr:rowOff>0</xdr:rowOff>
        </xdr:from>
        <xdr:to>
          <xdr:col>28</xdr:col>
          <xdr:colOff>752475</xdr:colOff>
          <xdr:row>72</xdr:row>
          <xdr:rowOff>228600</xdr:rowOff>
        </xdr:to>
        <xdr:sp macro="" textlink="">
          <xdr:nvSpPr>
            <xdr:cNvPr id="2319" name="Group Box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1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ALTURA DA ESPUMA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361950</xdr:colOff>
          <xdr:row>68</xdr:row>
          <xdr:rowOff>180975</xdr:rowOff>
        </xdr:from>
        <xdr:to>
          <xdr:col>28</xdr:col>
          <xdr:colOff>276225</xdr:colOff>
          <xdr:row>69</xdr:row>
          <xdr:rowOff>104775</xdr:rowOff>
        </xdr:to>
        <xdr:sp macro="" textlink="">
          <xdr:nvSpPr>
            <xdr:cNvPr id="2320" name="Option Butto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1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2 cm  -  20mm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361950</xdr:colOff>
          <xdr:row>69</xdr:row>
          <xdr:rowOff>104775</xdr:rowOff>
        </xdr:from>
        <xdr:to>
          <xdr:col>28</xdr:col>
          <xdr:colOff>247650</xdr:colOff>
          <xdr:row>70</xdr:row>
          <xdr:rowOff>133350</xdr:rowOff>
        </xdr:to>
        <xdr:sp macro="" textlink="">
          <xdr:nvSpPr>
            <xdr:cNvPr id="2321" name="Option Butto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1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3 cm  -  30mm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352425</xdr:colOff>
          <xdr:row>70</xdr:row>
          <xdr:rowOff>133350</xdr:rowOff>
        </xdr:from>
        <xdr:to>
          <xdr:col>28</xdr:col>
          <xdr:colOff>190500</xdr:colOff>
          <xdr:row>71</xdr:row>
          <xdr:rowOff>161925</xdr:rowOff>
        </xdr:to>
        <xdr:sp macro="" textlink="">
          <xdr:nvSpPr>
            <xdr:cNvPr id="2322" name="Option Button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1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5 cm  -  50mm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400050</xdr:colOff>
          <xdr:row>71</xdr:row>
          <xdr:rowOff>228600</xdr:rowOff>
        </xdr:from>
        <xdr:to>
          <xdr:col>28</xdr:col>
          <xdr:colOff>276225</xdr:colOff>
          <xdr:row>72</xdr:row>
          <xdr:rowOff>200025</xdr:rowOff>
        </xdr:to>
        <xdr:sp macro="" textlink="">
          <xdr:nvSpPr>
            <xdr:cNvPr id="2325" name="Option Butto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1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1019175</xdr:colOff>
          <xdr:row>97</xdr:row>
          <xdr:rowOff>190500</xdr:rowOff>
        </xdr:from>
        <xdr:to>
          <xdr:col>11</xdr:col>
          <xdr:colOff>2295525</xdr:colOff>
          <xdr:row>98</xdr:row>
          <xdr:rowOff>152400</xdr:rowOff>
        </xdr:to>
        <xdr:sp macro="" textlink="">
          <xdr:nvSpPr>
            <xdr:cNvPr id="2326" name="Option Button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1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1885950</xdr:colOff>
          <xdr:row>88</xdr:row>
          <xdr:rowOff>76200</xdr:rowOff>
        </xdr:from>
        <xdr:to>
          <xdr:col>16</xdr:col>
          <xdr:colOff>1085850</xdr:colOff>
          <xdr:row>90</xdr:row>
          <xdr:rowOff>190500</xdr:rowOff>
        </xdr:to>
        <xdr:sp macro="" textlink="">
          <xdr:nvSpPr>
            <xdr:cNvPr id="2328" name="Group Box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1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PLUMANTE DE SILICONE - APENAS PARA ENCOSTO ERGO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1924050</xdr:colOff>
          <xdr:row>89</xdr:row>
          <xdr:rowOff>85725</xdr:rowOff>
        </xdr:from>
        <xdr:to>
          <xdr:col>17</xdr:col>
          <xdr:colOff>38100</xdr:colOff>
          <xdr:row>90</xdr:row>
          <xdr:rowOff>114300</xdr:rowOff>
        </xdr:to>
        <xdr:sp macro="" textlink="">
          <xdr:nvSpPr>
            <xdr:cNvPr id="2329" name="Check Box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1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RETIRAR O PLUMANTE DO ENCOSTO ERGOENVOLVENTE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1409700</xdr:colOff>
          <xdr:row>77</xdr:row>
          <xdr:rowOff>133350</xdr:rowOff>
        </xdr:from>
        <xdr:to>
          <xdr:col>22</xdr:col>
          <xdr:colOff>628650</xdr:colOff>
          <xdr:row>78</xdr:row>
          <xdr:rowOff>161925</xdr:rowOff>
        </xdr:to>
        <xdr:sp macro="" textlink="">
          <xdr:nvSpPr>
            <xdr:cNvPr id="2330" name="Check Box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1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IREI UTILIZAR TAMANHO MISTO</a:t>
              </a:r>
            </a:p>
          </xdr:txBody>
        </xdr:sp>
        <xdr:clientData/>
      </xdr:twoCellAnchor>
    </mc:Choice>
    <mc:Fallback/>
  </mc:AlternateContent>
  <xdr:twoCellAnchor editAs="oneCell">
    <xdr:from>
      <xdr:col>13</xdr:col>
      <xdr:colOff>104775</xdr:colOff>
      <xdr:row>43</xdr:row>
      <xdr:rowOff>66675</xdr:rowOff>
    </xdr:from>
    <xdr:to>
      <xdr:col>13</xdr:col>
      <xdr:colOff>2301416</xdr:colOff>
      <xdr:row>49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3143250"/>
          <a:ext cx="2196641" cy="177165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43</xdr:row>
      <xdr:rowOff>85725</xdr:rowOff>
    </xdr:from>
    <xdr:to>
      <xdr:col>9</xdr:col>
      <xdr:colOff>2323548</xdr:colOff>
      <xdr:row>49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162300"/>
          <a:ext cx="2247348" cy="176212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76201</xdr:colOff>
      <xdr:row>61</xdr:row>
      <xdr:rowOff>76200</xdr:rowOff>
    </xdr:from>
    <xdr:to>
      <xdr:col>9</xdr:col>
      <xdr:colOff>2323735</xdr:colOff>
      <xdr:row>67</xdr:row>
      <xdr:rowOff>19050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8220075"/>
          <a:ext cx="2247534" cy="1714500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61</xdr:row>
      <xdr:rowOff>57150</xdr:rowOff>
    </xdr:from>
    <xdr:to>
      <xdr:col>11</xdr:col>
      <xdr:colOff>2323743</xdr:colOff>
      <xdr:row>66</xdr:row>
      <xdr:rowOff>276225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201025"/>
          <a:ext cx="2257068" cy="169545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61</xdr:row>
      <xdr:rowOff>76199</xdr:rowOff>
    </xdr:from>
    <xdr:to>
      <xdr:col>13</xdr:col>
      <xdr:colOff>2305898</xdr:colOff>
      <xdr:row>66</xdr:row>
      <xdr:rowOff>285750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8220074"/>
          <a:ext cx="2258273" cy="1685926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85726</xdr:colOff>
      <xdr:row>100</xdr:row>
      <xdr:rowOff>66675</xdr:rowOff>
    </xdr:from>
    <xdr:to>
      <xdr:col>11</xdr:col>
      <xdr:colOff>2314576</xdr:colOff>
      <xdr:row>107</xdr:row>
      <xdr:rowOff>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6" y="24526875"/>
          <a:ext cx="2228850" cy="200025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100</xdr:row>
      <xdr:rowOff>85725</xdr:rowOff>
    </xdr:from>
    <xdr:to>
      <xdr:col>9</xdr:col>
      <xdr:colOff>2295525</xdr:colOff>
      <xdr:row>107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4545925"/>
          <a:ext cx="2219325" cy="19812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119</xdr:row>
      <xdr:rowOff>76200</xdr:rowOff>
    </xdr:from>
    <xdr:to>
      <xdr:col>11</xdr:col>
      <xdr:colOff>2266950</xdr:colOff>
      <xdr:row>125</xdr:row>
      <xdr:rowOff>133350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23793450"/>
          <a:ext cx="2171700" cy="18288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119</xdr:row>
      <xdr:rowOff>57150</xdr:rowOff>
    </xdr:from>
    <xdr:to>
      <xdr:col>9</xdr:col>
      <xdr:colOff>2247900</xdr:colOff>
      <xdr:row>125</xdr:row>
      <xdr:rowOff>209550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23774400"/>
          <a:ext cx="2133600" cy="192405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57151</xdr:colOff>
      <xdr:row>135</xdr:row>
      <xdr:rowOff>76200</xdr:rowOff>
    </xdr:from>
    <xdr:to>
      <xdr:col>11</xdr:col>
      <xdr:colOff>2286000</xdr:colOff>
      <xdr:row>141</xdr:row>
      <xdr:rowOff>114300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6" y="28251150"/>
          <a:ext cx="2228849" cy="1809750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135</xdr:row>
      <xdr:rowOff>76199</xdr:rowOff>
    </xdr:from>
    <xdr:to>
      <xdr:col>9</xdr:col>
      <xdr:colOff>2312874</xdr:colOff>
      <xdr:row>141</xdr:row>
      <xdr:rowOff>104775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3725" y="28251149"/>
          <a:ext cx="2246199" cy="1800226"/>
        </a:xfrm>
        <a:prstGeom prst="rect">
          <a:avLst/>
        </a:prstGeom>
      </xdr:spPr>
    </xdr:pic>
    <xdr:clientData/>
  </xdr:twoCellAnchor>
  <xdr:twoCellAnchor editAs="oneCell">
    <xdr:from>
      <xdr:col>21</xdr:col>
      <xdr:colOff>208873</xdr:colOff>
      <xdr:row>67</xdr:row>
      <xdr:rowOff>238124</xdr:rowOff>
    </xdr:from>
    <xdr:to>
      <xdr:col>23</xdr:col>
      <xdr:colOff>857250</xdr:colOff>
      <xdr:row>72</xdr:row>
      <xdr:rowOff>266699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0948" y="10267949"/>
          <a:ext cx="2181902" cy="1247775"/>
        </a:xfrm>
        <a:prstGeom prst="rect">
          <a:avLst/>
        </a:prstGeom>
      </xdr:spPr>
    </xdr:pic>
    <xdr:clientData/>
  </xdr:twoCellAnchor>
  <xdr:twoCellAnchor>
    <xdr:from>
      <xdr:col>32</xdr:col>
      <xdr:colOff>108742</xdr:colOff>
      <xdr:row>59</xdr:row>
      <xdr:rowOff>11632</xdr:rowOff>
    </xdr:from>
    <xdr:to>
      <xdr:col>32</xdr:col>
      <xdr:colOff>708991</xdr:colOff>
      <xdr:row>60</xdr:row>
      <xdr:rowOff>49732</xdr:rowOff>
    </xdr:to>
    <xdr:sp macro="" textlink="">
      <xdr:nvSpPr>
        <xdr:cNvPr id="10" name="Seta: para a Direit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692998">
          <a:off x="20444617" y="12956107"/>
          <a:ext cx="600249" cy="333375"/>
        </a:xfrm>
        <a:prstGeom prst="rightArrow">
          <a:avLst/>
        </a:prstGeom>
        <a:solidFill>
          <a:srgbClr val="FFFF99"/>
        </a:solidFill>
        <a:ln w="28575">
          <a:solidFill>
            <a:srgbClr val="FF000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142875</xdr:colOff>
          <xdr:row>61</xdr:row>
          <xdr:rowOff>114300</xdr:rowOff>
        </xdr:from>
        <xdr:to>
          <xdr:col>36</xdr:col>
          <xdr:colOff>209550</xdr:colOff>
          <xdr:row>64</xdr:row>
          <xdr:rowOff>219075</xdr:rowOff>
        </xdr:to>
        <xdr:sp macro="" textlink="">
          <xdr:nvSpPr>
            <xdr:cNvPr id="2331" name="Group Box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1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O TIPO DE FAIXA DE ASSENTO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314325</xdr:colOff>
          <xdr:row>61</xdr:row>
          <xdr:rowOff>266700</xdr:rowOff>
        </xdr:from>
        <xdr:to>
          <xdr:col>34</xdr:col>
          <xdr:colOff>838200</xdr:colOff>
          <xdr:row>62</xdr:row>
          <xdr:rowOff>161925</xdr:rowOff>
        </xdr:to>
        <xdr:sp macro="" textlink="">
          <xdr:nvSpPr>
            <xdr:cNvPr id="2332" name="Option Butto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1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FAIXA ADUTORA  -  INDICADA PARA "FECHAR" AS PERNAS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323850</xdr:colOff>
          <xdr:row>62</xdr:row>
          <xdr:rowOff>152400</xdr:rowOff>
        </xdr:from>
        <xdr:to>
          <xdr:col>34</xdr:col>
          <xdr:colOff>666750</xdr:colOff>
          <xdr:row>63</xdr:row>
          <xdr:rowOff>47625</xdr:rowOff>
        </xdr:to>
        <xdr:sp macro="" textlink="">
          <xdr:nvSpPr>
            <xdr:cNvPr id="2333" name="Option Butto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1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FAIXA ABDUTORA - INDICADA PARA "ABRIR" AS PERNAS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1076325</xdr:colOff>
          <xdr:row>56</xdr:row>
          <xdr:rowOff>161925</xdr:rowOff>
        </xdr:from>
        <xdr:to>
          <xdr:col>34</xdr:col>
          <xdr:colOff>847725</xdr:colOff>
          <xdr:row>57</xdr:row>
          <xdr:rowOff>190500</xdr:rowOff>
        </xdr:to>
        <xdr:sp macro="" textlink="">
          <xdr:nvSpPr>
            <xdr:cNvPr id="2335" name="Check Box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1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INCLUIR FAIXA PARA PERNAS NO ASSENTO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666750</xdr:colOff>
          <xdr:row>134</xdr:row>
          <xdr:rowOff>0</xdr:rowOff>
        </xdr:from>
        <xdr:to>
          <xdr:col>16</xdr:col>
          <xdr:colOff>695325</xdr:colOff>
          <xdr:row>134</xdr:row>
          <xdr:rowOff>209550</xdr:rowOff>
        </xdr:to>
        <xdr:sp macro="" textlink="">
          <xdr:nvSpPr>
            <xdr:cNvPr id="2336" name="Option Butto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1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13</xdr:col>
      <xdr:colOff>269356</xdr:colOff>
      <xdr:row>83</xdr:row>
      <xdr:rowOff>273722</xdr:rowOff>
    </xdr:from>
    <xdr:to>
      <xdr:col>13</xdr:col>
      <xdr:colOff>799608</xdr:colOff>
      <xdr:row>85</xdr:row>
      <xdr:rowOff>16547</xdr:rowOff>
    </xdr:to>
    <xdr:sp macro="" textlink="">
      <xdr:nvSpPr>
        <xdr:cNvPr id="146" name="Seta: para a Direita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/>
      </xdr:nvSpPr>
      <xdr:spPr>
        <a:xfrm rot="692998">
          <a:off x="3107806" y="14437397"/>
          <a:ext cx="530252" cy="333375"/>
        </a:xfrm>
        <a:prstGeom prst="rightArrow">
          <a:avLst/>
        </a:prstGeom>
        <a:solidFill>
          <a:srgbClr val="FFFF99"/>
        </a:solidFill>
        <a:ln w="28575">
          <a:solidFill>
            <a:srgbClr val="FF000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1834645</xdr:colOff>
      <xdr:row>82</xdr:row>
      <xdr:rowOff>60984</xdr:rowOff>
    </xdr:from>
    <xdr:to>
      <xdr:col>13</xdr:col>
      <xdr:colOff>2168020</xdr:colOff>
      <xdr:row>84</xdr:row>
      <xdr:rowOff>686</xdr:rowOff>
    </xdr:to>
    <xdr:sp macro="" textlink="">
      <xdr:nvSpPr>
        <xdr:cNvPr id="147" name="Seta: para a Direita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/>
      </xdr:nvSpPr>
      <xdr:spPr>
        <a:xfrm rot="7201724">
          <a:off x="4574657" y="14027822"/>
          <a:ext cx="530252" cy="333375"/>
        </a:xfrm>
        <a:prstGeom prst="rightArrow">
          <a:avLst/>
        </a:prstGeom>
        <a:solidFill>
          <a:srgbClr val="FFFF99"/>
        </a:solidFill>
        <a:ln w="28575">
          <a:solidFill>
            <a:srgbClr val="FF0000"/>
          </a:solidFill>
        </a:ln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2076450</xdr:colOff>
          <xdr:row>78</xdr:row>
          <xdr:rowOff>47625</xdr:rowOff>
        </xdr:from>
        <xdr:to>
          <xdr:col>13</xdr:col>
          <xdr:colOff>1162050</xdr:colOff>
          <xdr:row>78</xdr:row>
          <xdr:rowOff>266700</xdr:rowOff>
        </xdr:to>
        <xdr:sp macro="" textlink="">
          <xdr:nvSpPr>
            <xdr:cNvPr id="2337" name="Option Butto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1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533400</xdr:colOff>
          <xdr:row>40</xdr:row>
          <xdr:rowOff>133350</xdr:rowOff>
        </xdr:from>
        <xdr:to>
          <xdr:col>13</xdr:col>
          <xdr:colOff>1924050</xdr:colOff>
          <xdr:row>41</xdr:row>
          <xdr:rowOff>152400</xdr:rowOff>
        </xdr:to>
        <xdr:sp macro="" textlink="">
          <xdr:nvSpPr>
            <xdr:cNvPr id="2338" name="Option Butto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1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CADEIRA TRANSFORM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1609725</xdr:colOff>
          <xdr:row>40</xdr:row>
          <xdr:rowOff>161925</xdr:rowOff>
        </xdr:from>
        <xdr:to>
          <xdr:col>13</xdr:col>
          <xdr:colOff>361950</xdr:colOff>
          <xdr:row>41</xdr:row>
          <xdr:rowOff>180975</xdr:rowOff>
        </xdr:to>
        <xdr:sp macro="" textlink="">
          <xdr:nvSpPr>
            <xdr:cNvPr id="2339" name="Option Butto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1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19</xdr:col>
      <xdr:colOff>1382562</xdr:colOff>
      <xdr:row>89</xdr:row>
      <xdr:rowOff>64591</xdr:rowOff>
    </xdr:from>
    <xdr:to>
      <xdr:col>20</xdr:col>
      <xdr:colOff>507929</xdr:colOff>
      <xdr:row>90</xdr:row>
      <xdr:rowOff>178057</xdr:rowOff>
    </xdr:to>
    <xdr:sp macro="" textlink="">
      <xdr:nvSpPr>
        <xdr:cNvPr id="149" name="Seta: para a Direita 220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/>
      </xdr:nvSpPr>
      <xdr:spPr>
        <a:xfrm rot="1937498">
          <a:off x="12107712" y="21533941"/>
          <a:ext cx="592217" cy="361116"/>
        </a:xfrm>
        <a:prstGeom prst="rightArrow">
          <a:avLst/>
        </a:prstGeom>
        <a:solidFill>
          <a:srgbClr val="FFFF00"/>
        </a:solidFill>
        <a:ln w="28575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1009650</xdr:colOff>
          <xdr:row>91</xdr:row>
          <xdr:rowOff>400050</xdr:rowOff>
        </xdr:from>
        <xdr:to>
          <xdr:col>22</xdr:col>
          <xdr:colOff>733425</xdr:colOff>
          <xdr:row>93</xdr:row>
          <xdr:rowOff>66675</xdr:rowOff>
        </xdr:to>
        <xdr:sp macro="" textlink="">
          <xdr:nvSpPr>
            <xdr:cNvPr id="2340" name="Check Box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1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INCLUIR REDUTOR DE PROFUNDIDADE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590550</xdr:colOff>
          <xdr:row>49</xdr:row>
          <xdr:rowOff>190500</xdr:rowOff>
        </xdr:from>
        <xdr:to>
          <xdr:col>16</xdr:col>
          <xdr:colOff>600075</xdr:colOff>
          <xdr:row>50</xdr:row>
          <xdr:rowOff>114300</xdr:rowOff>
        </xdr:to>
        <xdr:sp macro="" textlink="">
          <xdr:nvSpPr>
            <xdr:cNvPr id="2342" name="Option Butto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1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1943100</xdr:colOff>
          <xdr:row>133</xdr:row>
          <xdr:rowOff>57150</xdr:rowOff>
        </xdr:from>
        <xdr:to>
          <xdr:col>11</xdr:col>
          <xdr:colOff>1276350</xdr:colOff>
          <xdr:row>134</xdr:row>
          <xdr:rowOff>19050</xdr:rowOff>
        </xdr:to>
        <xdr:sp macro="" textlink="">
          <xdr:nvSpPr>
            <xdr:cNvPr id="2343" name="Option Butto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1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SEM ESTABILIZADOR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148</xdr:row>
          <xdr:rowOff>180975</xdr:rowOff>
        </xdr:from>
        <xdr:to>
          <xdr:col>21</xdr:col>
          <xdr:colOff>38100</xdr:colOff>
          <xdr:row>150</xdr:row>
          <xdr:rowOff>323850</xdr:rowOff>
        </xdr:to>
        <xdr:sp macro="" textlink="">
          <xdr:nvSpPr>
            <xdr:cNvPr id="2344" name="Group Box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1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DE PÉ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838200</xdr:colOff>
          <xdr:row>150</xdr:row>
          <xdr:rowOff>38100</xdr:rowOff>
        </xdr:from>
        <xdr:to>
          <xdr:col>9</xdr:col>
          <xdr:colOff>2095500</xdr:colOff>
          <xdr:row>150</xdr:row>
          <xdr:rowOff>257175</xdr:rowOff>
        </xdr:to>
        <xdr:sp macro="" textlink="">
          <xdr:nvSpPr>
            <xdr:cNvPr id="2345" name="Option Butto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1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PLANO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742950</xdr:colOff>
          <xdr:row>150</xdr:row>
          <xdr:rowOff>47625</xdr:rowOff>
        </xdr:from>
        <xdr:to>
          <xdr:col>11</xdr:col>
          <xdr:colOff>2124075</xdr:colOff>
          <xdr:row>150</xdr:row>
          <xdr:rowOff>266700</xdr:rowOff>
        </xdr:to>
        <xdr:sp macro="" textlink="">
          <xdr:nvSpPr>
            <xdr:cNvPr id="2346" name="Option Butto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1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EM  P.A.D.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1314450</xdr:colOff>
          <xdr:row>152</xdr:row>
          <xdr:rowOff>142875</xdr:rowOff>
        </xdr:from>
        <xdr:to>
          <xdr:col>29</xdr:col>
          <xdr:colOff>0</xdr:colOff>
          <xdr:row>155</xdr:row>
          <xdr:rowOff>114300</xdr:rowOff>
        </xdr:to>
        <xdr:sp macro="" textlink="">
          <xdr:nvSpPr>
            <xdr:cNvPr id="2347" name="Group Box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1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 ARTICULAÇÃO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742950</xdr:colOff>
          <xdr:row>150</xdr:row>
          <xdr:rowOff>47625</xdr:rowOff>
        </xdr:from>
        <xdr:to>
          <xdr:col>13</xdr:col>
          <xdr:colOff>2124075</xdr:colOff>
          <xdr:row>150</xdr:row>
          <xdr:rowOff>266700</xdr:rowOff>
        </xdr:to>
        <xdr:sp macro="" textlink="">
          <xdr:nvSpPr>
            <xdr:cNvPr id="2348" name="Option Butto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1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DE MADEIRA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619125</xdr:colOff>
          <xdr:row>150</xdr:row>
          <xdr:rowOff>28575</xdr:rowOff>
        </xdr:from>
        <xdr:to>
          <xdr:col>16</xdr:col>
          <xdr:colOff>1038225</xdr:colOff>
          <xdr:row>150</xdr:row>
          <xdr:rowOff>285750</xdr:rowOff>
        </xdr:to>
        <xdr:sp macro="" textlink="">
          <xdr:nvSpPr>
            <xdr:cNvPr id="2349" name="Option Butto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1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EM CAIXA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361950</xdr:colOff>
          <xdr:row>150</xdr:row>
          <xdr:rowOff>47625</xdr:rowOff>
        </xdr:from>
        <xdr:to>
          <xdr:col>20</xdr:col>
          <xdr:colOff>323850</xdr:colOff>
          <xdr:row>150</xdr:row>
          <xdr:rowOff>276225</xdr:rowOff>
        </xdr:to>
        <xdr:sp macro="" textlink="">
          <xdr:nvSpPr>
            <xdr:cNvPr id="2350" name="Option Butto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1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INDEPENDENTE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85725</xdr:colOff>
          <xdr:row>149</xdr:row>
          <xdr:rowOff>19050</xdr:rowOff>
        </xdr:from>
        <xdr:to>
          <xdr:col>13</xdr:col>
          <xdr:colOff>2085975</xdr:colOff>
          <xdr:row>149</xdr:row>
          <xdr:rowOff>238125</xdr:rowOff>
        </xdr:to>
        <xdr:sp macro="" textlink="">
          <xdr:nvSpPr>
            <xdr:cNvPr id="2351" name="Option Butto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1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23</xdr:col>
      <xdr:colOff>609600</xdr:colOff>
      <xdr:row>154</xdr:row>
      <xdr:rowOff>66675</xdr:rowOff>
    </xdr:from>
    <xdr:to>
      <xdr:col>23</xdr:col>
      <xdr:colOff>609600</xdr:colOff>
      <xdr:row>156</xdr:row>
      <xdr:rowOff>285750</xdr:rowOff>
    </xdr:to>
    <xdr:cxnSp macro="">
      <xdr:nvCxnSpPr>
        <xdr:cNvPr id="161" name="Conector de Seta Reta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CxnSpPr/>
      </xdr:nvCxnSpPr>
      <xdr:spPr>
        <a:xfrm>
          <a:off x="14935200" y="34032825"/>
          <a:ext cx="0" cy="80962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190500</xdr:colOff>
      <xdr:row>154</xdr:row>
      <xdr:rowOff>76200</xdr:rowOff>
    </xdr:from>
    <xdr:to>
      <xdr:col>28</xdr:col>
      <xdr:colOff>200025</xdr:colOff>
      <xdr:row>157</xdr:row>
      <xdr:rowOff>0</xdr:rowOff>
    </xdr:to>
    <xdr:cxnSp macro="">
      <xdr:nvCxnSpPr>
        <xdr:cNvPr id="162" name="Conector de Seta Reta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CxnSpPr/>
      </xdr:nvCxnSpPr>
      <xdr:spPr>
        <a:xfrm>
          <a:off x="17421225" y="34042350"/>
          <a:ext cx="9525" cy="80962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209550</xdr:colOff>
          <xdr:row>153</xdr:row>
          <xdr:rowOff>152400</xdr:rowOff>
        </xdr:from>
        <xdr:to>
          <xdr:col>24</xdr:col>
          <xdr:colOff>28575</xdr:colOff>
          <xdr:row>154</xdr:row>
          <xdr:rowOff>57150</xdr:rowOff>
        </xdr:to>
        <xdr:sp macro="" textlink="">
          <xdr:nvSpPr>
            <xdr:cNvPr id="2352" name="Option Butto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1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ARTICULADO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714375</xdr:colOff>
          <xdr:row>153</xdr:row>
          <xdr:rowOff>171450</xdr:rowOff>
        </xdr:from>
        <xdr:to>
          <xdr:col>28</xdr:col>
          <xdr:colOff>857250</xdr:colOff>
          <xdr:row>154</xdr:row>
          <xdr:rowOff>104775</xdr:rowOff>
        </xdr:to>
        <xdr:sp macro="" textlink="">
          <xdr:nvSpPr>
            <xdr:cNvPr id="2353" name="Option Butto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1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BI-ARTICULADO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114300</xdr:colOff>
          <xdr:row>154</xdr:row>
          <xdr:rowOff>114300</xdr:rowOff>
        </xdr:from>
        <xdr:to>
          <xdr:col>27</xdr:col>
          <xdr:colOff>723900</xdr:colOff>
          <xdr:row>155</xdr:row>
          <xdr:rowOff>47625</xdr:rowOff>
        </xdr:to>
        <xdr:sp macro="" textlink="">
          <xdr:nvSpPr>
            <xdr:cNvPr id="2354" name="Option Butto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1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20</xdr:col>
      <xdr:colOff>504825</xdr:colOff>
      <xdr:row>150</xdr:row>
      <xdr:rowOff>123825</xdr:rowOff>
    </xdr:from>
    <xdr:to>
      <xdr:col>23</xdr:col>
      <xdr:colOff>285750</xdr:colOff>
      <xdr:row>150</xdr:row>
      <xdr:rowOff>238125</xdr:rowOff>
    </xdr:to>
    <xdr:sp macro="" textlink="">
      <xdr:nvSpPr>
        <xdr:cNvPr id="166" name="Seta: para a Direita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/>
      </xdr:nvSpPr>
      <xdr:spPr>
        <a:xfrm>
          <a:off x="12420600" y="32756475"/>
          <a:ext cx="2190750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162</xdr:row>
          <xdr:rowOff>104775</xdr:rowOff>
        </xdr:from>
        <xdr:to>
          <xdr:col>27</xdr:col>
          <xdr:colOff>352425</xdr:colOff>
          <xdr:row>169</xdr:row>
          <xdr:rowOff>123825</xdr:rowOff>
        </xdr:to>
        <xdr:sp macro="" textlink="">
          <xdr:nvSpPr>
            <xdr:cNvPr id="2355" name="Group Box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1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MODULAÇÃO DO APOIO DE PÉ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1257300</xdr:colOff>
          <xdr:row>160</xdr:row>
          <xdr:rowOff>114300</xdr:rowOff>
        </xdr:from>
        <xdr:to>
          <xdr:col>29</xdr:col>
          <xdr:colOff>257175</xdr:colOff>
          <xdr:row>161</xdr:row>
          <xdr:rowOff>152400</xdr:rowOff>
        </xdr:to>
        <xdr:sp macro="" textlink="">
          <xdr:nvSpPr>
            <xdr:cNvPr id="2356" name="Check Box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1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VOU ESCOLHER UM TAMANHO FORA DO PADRÃO PARA O APOIO INDEPENDENTE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647700</xdr:colOff>
          <xdr:row>163</xdr:row>
          <xdr:rowOff>123825</xdr:rowOff>
        </xdr:from>
        <xdr:to>
          <xdr:col>27</xdr:col>
          <xdr:colOff>276225</xdr:colOff>
          <xdr:row>164</xdr:row>
          <xdr:rowOff>152400</xdr:rowOff>
        </xdr:to>
        <xdr:sp macro="" textlink="">
          <xdr:nvSpPr>
            <xdr:cNvPr id="2357" name="Option Butto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1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647700</xdr:colOff>
          <xdr:row>164</xdr:row>
          <xdr:rowOff>171450</xdr:rowOff>
        </xdr:from>
        <xdr:to>
          <xdr:col>26</xdr:col>
          <xdr:colOff>28575</xdr:colOff>
          <xdr:row>166</xdr:row>
          <xdr:rowOff>9525</xdr:rowOff>
        </xdr:to>
        <xdr:sp macro="" textlink="">
          <xdr:nvSpPr>
            <xdr:cNvPr id="2358" name="Option Button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1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MEDIO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647700</xdr:colOff>
          <xdr:row>166</xdr:row>
          <xdr:rowOff>28575</xdr:rowOff>
        </xdr:from>
        <xdr:to>
          <xdr:col>27</xdr:col>
          <xdr:colOff>266700</xdr:colOff>
          <xdr:row>167</xdr:row>
          <xdr:rowOff>66675</xdr:rowOff>
        </xdr:to>
        <xdr:sp macro="" textlink="">
          <xdr:nvSpPr>
            <xdr:cNvPr id="2359" name="Option Button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1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657225</xdr:colOff>
          <xdr:row>167</xdr:row>
          <xdr:rowOff>123825</xdr:rowOff>
        </xdr:from>
        <xdr:to>
          <xdr:col>27</xdr:col>
          <xdr:colOff>238125</xdr:colOff>
          <xdr:row>168</xdr:row>
          <xdr:rowOff>152400</xdr:rowOff>
        </xdr:to>
        <xdr:sp macro="" textlink="">
          <xdr:nvSpPr>
            <xdr:cNvPr id="2360" name="Option Button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1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oneCellAnchor>
    <xdr:from>
      <xdr:col>9</xdr:col>
      <xdr:colOff>95250</xdr:colOff>
      <xdr:row>151</xdr:row>
      <xdr:rowOff>66675</xdr:rowOff>
    </xdr:from>
    <xdr:ext cx="2209800" cy="1952626"/>
    <xdr:pic>
      <xdr:nvPicPr>
        <xdr:cNvPr id="173" name="Imagem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733675"/>
          <a:ext cx="2209800" cy="1952626"/>
        </a:xfrm>
        <a:prstGeom prst="rect">
          <a:avLst/>
        </a:prstGeom>
      </xdr:spPr>
    </xdr:pic>
    <xdr:clientData/>
  </xdr:oneCellAnchor>
  <xdr:oneCellAnchor>
    <xdr:from>
      <xdr:col>11</xdr:col>
      <xdr:colOff>95250</xdr:colOff>
      <xdr:row>151</xdr:row>
      <xdr:rowOff>85725</xdr:rowOff>
    </xdr:from>
    <xdr:ext cx="2200275" cy="1924050"/>
    <xdr:pic>
      <xdr:nvPicPr>
        <xdr:cNvPr id="174" name="Imagem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2752725"/>
          <a:ext cx="2200275" cy="1924050"/>
        </a:xfrm>
        <a:prstGeom prst="rect">
          <a:avLst/>
        </a:prstGeom>
      </xdr:spPr>
    </xdr:pic>
    <xdr:clientData/>
  </xdr:oneCellAnchor>
  <xdr:oneCellAnchor>
    <xdr:from>
      <xdr:col>15</xdr:col>
      <xdr:colOff>95249</xdr:colOff>
      <xdr:row>151</xdr:row>
      <xdr:rowOff>87539</xdr:rowOff>
    </xdr:from>
    <xdr:ext cx="2238375" cy="2027011"/>
    <xdr:pic>
      <xdr:nvPicPr>
        <xdr:cNvPr id="178" name="Imagem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699" y="33053564"/>
          <a:ext cx="2238375" cy="2027011"/>
        </a:xfrm>
        <a:prstGeom prst="rect">
          <a:avLst/>
        </a:prstGeom>
      </xdr:spPr>
    </xdr:pic>
    <xdr:clientData/>
  </xdr:oneCellAnchor>
  <xdr:oneCellAnchor>
    <xdr:from>
      <xdr:col>19</xdr:col>
      <xdr:colOff>95250</xdr:colOff>
      <xdr:row>151</xdr:row>
      <xdr:rowOff>114300</xdr:rowOff>
    </xdr:from>
    <xdr:ext cx="2095500" cy="2009775"/>
    <xdr:pic>
      <xdr:nvPicPr>
        <xdr:cNvPr id="179" name="Imagem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33194625"/>
          <a:ext cx="2095500" cy="2009775"/>
        </a:xfrm>
        <a:prstGeom prst="rect">
          <a:avLst/>
        </a:prstGeom>
      </xdr:spPr>
    </xdr:pic>
    <xdr:clientData/>
  </xdr:oneCellAnchor>
  <xdr:oneCellAnchor>
    <xdr:from>
      <xdr:col>13</xdr:col>
      <xdr:colOff>76200</xdr:colOff>
      <xdr:row>151</xdr:row>
      <xdr:rowOff>57150</xdr:rowOff>
    </xdr:from>
    <xdr:ext cx="2238375" cy="2028825"/>
    <xdr:pic>
      <xdr:nvPicPr>
        <xdr:cNvPr id="180" name="Imagem 179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2724150"/>
          <a:ext cx="2238375" cy="2028825"/>
        </a:xfrm>
        <a:prstGeom prst="rect">
          <a:avLst/>
        </a:prstGeom>
      </xdr:spPr>
    </xdr:pic>
    <xdr:clientData/>
  </xdr:oneCellAnchor>
  <xdr:oneCellAnchor>
    <xdr:from>
      <xdr:col>12</xdr:col>
      <xdr:colOff>57149</xdr:colOff>
      <xdr:row>177</xdr:row>
      <xdr:rowOff>238125</xdr:rowOff>
    </xdr:from>
    <xdr:ext cx="1743075" cy="1483703"/>
    <xdr:pic>
      <xdr:nvPicPr>
        <xdr:cNvPr id="182" name="Imagem 181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9" y="45053250"/>
          <a:ext cx="1743075" cy="1483703"/>
        </a:xfrm>
        <a:prstGeom prst="rect">
          <a:avLst/>
        </a:prstGeom>
      </xdr:spPr>
    </xdr:pic>
    <xdr:clientData/>
  </xdr:oneCellAnchor>
  <xdr:oneCellAnchor>
    <xdr:from>
      <xdr:col>9</xdr:col>
      <xdr:colOff>85725</xdr:colOff>
      <xdr:row>178</xdr:row>
      <xdr:rowOff>114300</xdr:rowOff>
    </xdr:from>
    <xdr:ext cx="2238375" cy="1838325"/>
    <xdr:pic>
      <xdr:nvPicPr>
        <xdr:cNvPr id="183" name="Imagem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7924800"/>
          <a:ext cx="2238375" cy="1838325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186</xdr:row>
          <xdr:rowOff>161925</xdr:rowOff>
        </xdr:from>
        <xdr:to>
          <xdr:col>9</xdr:col>
          <xdr:colOff>2362200</xdr:colOff>
          <xdr:row>190</xdr:row>
          <xdr:rowOff>104775</xdr:rowOff>
        </xdr:to>
        <xdr:sp macro="" textlink="">
          <xdr:nvSpPr>
            <xdr:cNvPr id="2361" name="Group Box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1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INSEIR FAIXA DE VELCRO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714375</xdr:colOff>
          <xdr:row>183</xdr:row>
          <xdr:rowOff>171450</xdr:rowOff>
        </xdr:from>
        <xdr:to>
          <xdr:col>14</xdr:col>
          <xdr:colOff>0</xdr:colOff>
          <xdr:row>195</xdr:row>
          <xdr:rowOff>38100</xdr:rowOff>
        </xdr:to>
        <xdr:sp macro="" textlink="">
          <xdr:nvSpPr>
            <xdr:cNvPr id="2362" name="Group Box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1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APOIO PARA PERNAS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942975</xdr:colOff>
          <xdr:row>185</xdr:row>
          <xdr:rowOff>123825</xdr:rowOff>
        </xdr:from>
        <xdr:to>
          <xdr:col>11</xdr:col>
          <xdr:colOff>2352675</xdr:colOff>
          <xdr:row>186</xdr:row>
          <xdr:rowOff>57150</xdr:rowOff>
        </xdr:to>
        <xdr:sp macro="" textlink="">
          <xdr:nvSpPr>
            <xdr:cNvPr id="2363" name="Option Button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1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PLACA PLANA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342900</xdr:colOff>
          <xdr:row>185</xdr:row>
          <xdr:rowOff>142875</xdr:rowOff>
        </xdr:from>
        <xdr:to>
          <xdr:col>13</xdr:col>
          <xdr:colOff>1552575</xdr:colOff>
          <xdr:row>186</xdr:row>
          <xdr:rowOff>57150</xdr:rowOff>
        </xdr:to>
        <xdr:sp macro="" textlink="">
          <xdr:nvSpPr>
            <xdr:cNvPr id="2364" name="Option Button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1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EM CALHA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2124075</xdr:colOff>
          <xdr:row>184</xdr:row>
          <xdr:rowOff>95250</xdr:rowOff>
        </xdr:from>
        <xdr:to>
          <xdr:col>13</xdr:col>
          <xdr:colOff>952500</xdr:colOff>
          <xdr:row>185</xdr:row>
          <xdr:rowOff>19050</xdr:rowOff>
        </xdr:to>
        <xdr:sp macro="" textlink="">
          <xdr:nvSpPr>
            <xdr:cNvPr id="2365" name="Option Button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1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304800</xdr:colOff>
          <xdr:row>177</xdr:row>
          <xdr:rowOff>38100</xdr:rowOff>
        </xdr:from>
        <xdr:to>
          <xdr:col>17</xdr:col>
          <xdr:colOff>142875</xdr:colOff>
          <xdr:row>177</xdr:row>
          <xdr:rowOff>295275</xdr:rowOff>
        </xdr:to>
        <xdr:sp macro="" textlink="">
          <xdr:nvSpPr>
            <xdr:cNvPr id="2366" name="Check Box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1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REVESTIMENTO DO  APOIO DE PÉ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361950</xdr:colOff>
          <xdr:row>177</xdr:row>
          <xdr:rowOff>76200</xdr:rowOff>
        </xdr:from>
        <xdr:to>
          <xdr:col>20</xdr:col>
          <xdr:colOff>676275</xdr:colOff>
          <xdr:row>177</xdr:row>
          <xdr:rowOff>295275</xdr:rowOff>
        </xdr:to>
        <xdr:sp macro="" textlink="">
          <xdr:nvSpPr>
            <xdr:cNvPr id="2367" name="Check Box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1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COMPENSAÇÃO EM PLACA DE E.V.A.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1666875</xdr:colOff>
      <xdr:row>179</xdr:row>
      <xdr:rowOff>276225</xdr:rowOff>
    </xdr:from>
    <xdr:to>
      <xdr:col>9</xdr:col>
      <xdr:colOff>1962150</xdr:colOff>
      <xdr:row>180</xdr:row>
      <xdr:rowOff>228600</xdr:rowOff>
    </xdr:to>
    <xdr:sp macro="" textlink="">
      <xdr:nvSpPr>
        <xdr:cNvPr id="189" name="Seta: para a Direita 18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/>
      </xdr:nvSpPr>
      <xdr:spPr>
        <a:xfrm rot="8155269">
          <a:off x="2076450" y="8191500"/>
          <a:ext cx="295275" cy="19050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187</xdr:row>
          <xdr:rowOff>123825</xdr:rowOff>
        </xdr:from>
        <xdr:to>
          <xdr:col>9</xdr:col>
          <xdr:colOff>2105025</xdr:colOff>
          <xdr:row>188</xdr:row>
          <xdr:rowOff>152400</xdr:rowOff>
        </xdr:to>
        <xdr:sp macro="" textlink="">
          <xdr:nvSpPr>
            <xdr:cNvPr id="2368" name="Check Box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1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NO TORNOZELO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188</xdr:row>
          <xdr:rowOff>142875</xdr:rowOff>
        </xdr:from>
        <xdr:to>
          <xdr:col>9</xdr:col>
          <xdr:colOff>1552575</xdr:colOff>
          <xdr:row>189</xdr:row>
          <xdr:rowOff>180975</xdr:rowOff>
        </xdr:to>
        <xdr:sp macro="" textlink="">
          <xdr:nvSpPr>
            <xdr:cNvPr id="2369" name="Check Box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1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NO ANTE PÉ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697833</xdr:colOff>
      <xdr:row>180</xdr:row>
      <xdr:rowOff>194509</xdr:rowOff>
    </xdr:from>
    <xdr:to>
      <xdr:col>9</xdr:col>
      <xdr:colOff>940971</xdr:colOff>
      <xdr:row>181</xdr:row>
      <xdr:rowOff>199021</xdr:rowOff>
    </xdr:to>
    <xdr:sp macro="" textlink="">
      <xdr:nvSpPr>
        <xdr:cNvPr id="193" name="Seta: para a Direita 19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/>
      </xdr:nvSpPr>
      <xdr:spPr>
        <a:xfrm rot="3272494">
          <a:off x="1136233" y="8357184"/>
          <a:ext cx="185487" cy="243138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597754</xdr:colOff>
      <xdr:row>179</xdr:row>
      <xdr:rowOff>266253</xdr:rowOff>
    </xdr:from>
    <xdr:to>
      <xdr:col>17</xdr:col>
      <xdr:colOff>954631</xdr:colOff>
      <xdr:row>183</xdr:row>
      <xdr:rowOff>262948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/>
      </xdr:nvSpPr>
      <xdr:spPr>
        <a:xfrm rot="2374462">
          <a:off x="11389579" y="8191053"/>
          <a:ext cx="356877" cy="758695"/>
        </a:xfrm>
        <a:prstGeom prst="rect">
          <a:avLst/>
        </a:prstGeom>
        <a:scene3d>
          <a:camera prst="isometricOffAxis2Top"/>
          <a:lightRig rig="threePt" dir="t"/>
        </a:scene3d>
        <a:sp3d z="317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15</xdr:col>
      <xdr:colOff>28575</xdr:colOff>
      <xdr:row>178</xdr:row>
      <xdr:rowOff>85726</xdr:rowOff>
    </xdr:from>
    <xdr:ext cx="2257425" cy="1866899"/>
    <xdr:pic>
      <xdr:nvPicPr>
        <xdr:cNvPr id="195" name="Imagem 19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45243751"/>
          <a:ext cx="2257425" cy="18668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177</xdr:row>
          <xdr:rowOff>85725</xdr:rowOff>
        </xdr:from>
        <xdr:to>
          <xdr:col>9</xdr:col>
          <xdr:colOff>2028825</xdr:colOff>
          <xdr:row>177</xdr:row>
          <xdr:rowOff>304800</xdr:rowOff>
        </xdr:to>
        <xdr:sp macro="" textlink="">
          <xdr:nvSpPr>
            <xdr:cNvPr id="2370" name="Check Box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1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FAIXA DE VELCRO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176</xdr:row>
          <xdr:rowOff>266700</xdr:rowOff>
        </xdr:from>
        <xdr:to>
          <xdr:col>14</xdr:col>
          <xdr:colOff>38100</xdr:colOff>
          <xdr:row>182</xdr:row>
          <xdr:rowOff>285750</xdr:rowOff>
        </xdr:to>
        <xdr:sp macro="" textlink="">
          <xdr:nvSpPr>
            <xdr:cNvPr id="2371" name="Group Box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1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APOIO DE PERNAS  -   ESCOLHA MATERIAL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1047750</xdr:colOff>
          <xdr:row>178</xdr:row>
          <xdr:rowOff>114300</xdr:rowOff>
        </xdr:from>
        <xdr:to>
          <xdr:col>11</xdr:col>
          <xdr:colOff>1952625</xdr:colOff>
          <xdr:row>179</xdr:row>
          <xdr:rowOff>38100</xdr:rowOff>
        </xdr:to>
        <xdr:sp macro="" textlink="">
          <xdr:nvSpPr>
            <xdr:cNvPr id="2372" name="Option Button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1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APOIO EM P.A.D.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1038225</xdr:colOff>
          <xdr:row>179</xdr:row>
          <xdr:rowOff>19050</xdr:rowOff>
        </xdr:from>
        <xdr:to>
          <xdr:col>11</xdr:col>
          <xdr:colOff>2314575</xdr:colOff>
          <xdr:row>179</xdr:row>
          <xdr:rowOff>247650</xdr:rowOff>
        </xdr:to>
        <xdr:sp macro="" textlink="">
          <xdr:nvSpPr>
            <xdr:cNvPr id="2373" name="Option Butto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1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APOIO EM MADEIRA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1028700</xdr:colOff>
          <xdr:row>180</xdr:row>
          <xdr:rowOff>114300</xdr:rowOff>
        </xdr:from>
        <xdr:to>
          <xdr:col>11</xdr:col>
          <xdr:colOff>2343150</xdr:colOff>
          <xdr:row>181</xdr:row>
          <xdr:rowOff>19050</xdr:rowOff>
        </xdr:to>
        <xdr:sp macro="" textlink="">
          <xdr:nvSpPr>
            <xdr:cNvPr id="2374" name="Option Button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1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185</xdr:row>
          <xdr:rowOff>190500</xdr:rowOff>
        </xdr:from>
        <xdr:to>
          <xdr:col>17</xdr:col>
          <xdr:colOff>114300</xdr:colOff>
          <xdr:row>190</xdr:row>
          <xdr:rowOff>161925</xdr:rowOff>
        </xdr:to>
        <xdr:sp macro="" textlink="">
          <xdr:nvSpPr>
            <xdr:cNvPr id="2375" name="Group Box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1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DEFINIR O TIPO DE REVESTIMENTO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314325</xdr:colOff>
          <xdr:row>186</xdr:row>
          <xdr:rowOff>57150</xdr:rowOff>
        </xdr:from>
        <xdr:to>
          <xdr:col>16</xdr:col>
          <xdr:colOff>809625</xdr:colOff>
          <xdr:row>187</xdr:row>
          <xdr:rowOff>85725</xdr:rowOff>
        </xdr:to>
        <xdr:sp macro="" textlink="">
          <xdr:nvSpPr>
            <xdr:cNvPr id="2376" name="Option Butto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1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REVESTIMENTO EM ESPUMA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304800</xdr:colOff>
          <xdr:row>187</xdr:row>
          <xdr:rowOff>76200</xdr:rowOff>
        </xdr:from>
        <xdr:to>
          <xdr:col>16</xdr:col>
          <xdr:colOff>1076325</xdr:colOff>
          <xdr:row>188</xdr:row>
          <xdr:rowOff>95250</xdr:rowOff>
        </xdr:to>
        <xdr:sp macro="" textlink="">
          <xdr:nvSpPr>
            <xdr:cNvPr id="2377" name="Option Button 329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1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REVESTIMENTO VISCO ELASTICO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619125</xdr:colOff>
          <xdr:row>189</xdr:row>
          <xdr:rowOff>28575</xdr:rowOff>
        </xdr:from>
        <xdr:to>
          <xdr:col>16</xdr:col>
          <xdr:colOff>552450</xdr:colOff>
          <xdr:row>190</xdr:row>
          <xdr:rowOff>57150</xdr:rowOff>
        </xdr:to>
        <xdr:sp macro="" textlink="">
          <xdr:nvSpPr>
            <xdr:cNvPr id="2378" name="Option Button 330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1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199</xdr:row>
          <xdr:rowOff>38100</xdr:rowOff>
        </xdr:from>
        <xdr:to>
          <xdr:col>18</xdr:col>
          <xdr:colOff>66675</xdr:colOff>
          <xdr:row>201</xdr:row>
          <xdr:rowOff>219075</xdr:rowOff>
        </xdr:to>
        <xdr:sp macro="" textlink="">
          <xdr:nvSpPr>
            <xdr:cNvPr id="2379" name="Group Box 331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1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TIPOS DE APOIO DE BRAÇO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200</xdr:row>
          <xdr:rowOff>238125</xdr:rowOff>
        </xdr:from>
        <xdr:to>
          <xdr:col>9</xdr:col>
          <xdr:colOff>2066925</xdr:colOff>
          <xdr:row>201</xdr:row>
          <xdr:rowOff>152400</xdr:rowOff>
        </xdr:to>
        <xdr:sp macro="" textlink="">
          <xdr:nvSpPr>
            <xdr:cNvPr id="2380" name="Option Button 332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1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PLANO ESTREITO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295275</xdr:colOff>
          <xdr:row>200</xdr:row>
          <xdr:rowOff>238125</xdr:rowOff>
        </xdr:from>
        <xdr:to>
          <xdr:col>11</xdr:col>
          <xdr:colOff>2343150</xdr:colOff>
          <xdr:row>201</xdr:row>
          <xdr:rowOff>161925</xdr:rowOff>
        </xdr:to>
        <xdr:sp macro="" textlink="">
          <xdr:nvSpPr>
            <xdr:cNvPr id="2381" name="Option Button 333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1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PLANO LARGO ( MOBI 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209</xdr:row>
          <xdr:rowOff>180975</xdr:rowOff>
        </xdr:from>
        <xdr:to>
          <xdr:col>18</xdr:col>
          <xdr:colOff>171450</xdr:colOff>
          <xdr:row>213</xdr:row>
          <xdr:rowOff>38100</xdr:rowOff>
        </xdr:to>
        <xdr:sp macro="" textlink="">
          <xdr:nvSpPr>
            <xdr:cNvPr id="2382" name="Group Box 334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1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APOIO FRONTAL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210</xdr:row>
          <xdr:rowOff>57150</xdr:rowOff>
        </xdr:from>
        <xdr:to>
          <xdr:col>16</xdr:col>
          <xdr:colOff>485775</xdr:colOff>
          <xdr:row>211</xdr:row>
          <xdr:rowOff>9525</xdr:rowOff>
        </xdr:to>
        <xdr:sp macro="" textlink="">
          <xdr:nvSpPr>
            <xdr:cNvPr id="2383" name="Option Button 335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1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211</xdr:row>
          <xdr:rowOff>0</xdr:rowOff>
        </xdr:from>
        <xdr:to>
          <xdr:col>16</xdr:col>
          <xdr:colOff>333375</xdr:colOff>
          <xdr:row>211</xdr:row>
          <xdr:rowOff>219075</xdr:rowOff>
        </xdr:to>
        <xdr:sp macro="" textlink="">
          <xdr:nvSpPr>
            <xdr:cNvPr id="2384" name="Option Button 336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1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MEDIO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123825</xdr:colOff>
          <xdr:row>211</xdr:row>
          <xdr:rowOff>200025</xdr:rowOff>
        </xdr:from>
        <xdr:to>
          <xdr:col>16</xdr:col>
          <xdr:colOff>38100</xdr:colOff>
          <xdr:row>212</xdr:row>
          <xdr:rowOff>171450</xdr:rowOff>
        </xdr:to>
        <xdr:sp macro="" textlink="">
          <xdr:nvSpPr>
            <xdr:cNvPr id="2385" name="Option Button 337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1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971550</xdr:colOff>
          <xdr:row>201</xdr:row>
          <xdr:rowOff>161925</xdr:rowOff>
        </xdr:from>
        <xdr:to>
          <xdr:col>22</xdr:col>
          <xdr:colOff>514350</xdr:colOff>
          <xdr:row>202</xdr:row>
          <xdr:rowOff>142875</xdr:rowOff>
        </xdr:to>
        <xdr:sp macro="" textlink="">
          <xdr:nvSpPr>
            <xdr:cNvPr id="2386" name="Check Box 338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1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FAIXA PARA ANTEBRAÇO E PUNHO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342900</xdr:colOff>
          <xdr:row>200</xdr:row>
          <xdr:rowOff>247650</xdr:rowOff>
        </xdr:from>
        <xdr:to>
          <xdr:col>13</xdr:col>
          <xdr:colOff>1981200</xdr:colOff>
          <xdr:row>201</xdr:row>
          <xdr:rowOff>161925</xdr:rowOff>
        </xdr:to>
        <xdr:sp macro="" textlink="">
          <xdr:nvSpPr>
            <xdr:cNvPr id="2387" name="Option Button 339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1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EM CALHA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352425</xdr:colOff>
          <xdr:row>200</xdr:row>
          <xdr:rowOff>257175</xdr:rowOff>
        </xdr:from>
        <xdr:to>
          <xdr:col>16</xdr:col>
          <xdr:colOff>819150</xdr:colOff>
          <xdr:row>201</xdr:row>
          <xdr:rowOff>171450</xdr:rowOff>
        </xdr:to>
        <xdr:sp macro="" textlink="">
          <xdr:nvSpPr>
            <xdr:cNvPr id="2388" name="Option Button 340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1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FRONTAL DE BRAÇO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1819275</xdr:colOff>
          <xdr:row>199</xdr:row>
          <xdr:rowOff>104775</xdr:rowOff>
        </xdr:from>
        <xdr:to>
          <xdr:col>13</xdr:col>
          <xdr:colOff>885825</xdr:colOff>
          <xdr:row>200</xdr:row>
          <xdr:rowOff>133350</xdr:rowOff>
        </xdr:to>
        <xdr:sp macro="" textlink="">
          <xdr:nvSpPr>
            <xdr:cNvPr id="2389" name="Option Button 341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1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</xdr:colOff>
          <xdr:row>210</xdr:row>
          <xdr:rowOff>247650</xdr:rowOff>
        </xdr:from>
        <xdr:to>
          <xdr:col>18</xdr:col>
          <xdr:colOff>9525</xdr:colOff>
          <xdr:row>211</xdr:row>
          <xdr:rowOff>200025</xdr:rowOff>
        </xdr:to>
        <xdr:sp macro="" textlink="">
          <xdr:nvSpPr>
            <xdr:cNvPr id="2390" name="Option Button 342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1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428625</xdr:colOff>
          <xdr:row>199</xdr:row>
          <xdr:rowOff>152400</xdr:rowOff>
        </xdr:from>
        <xdr:to>
          <xdr:col>22</xdr:col>
          <xdr:colOff>876300</xdr:colOff>
          <xdr:row>207</xdr:row>
          <xdr:rowOff>266700</xdr:rowOff>
        </xdr:to>
        <xdr:sp macro="" textlink="">
          <xdr:nvSpPr>
            <xdr:cNvPr id="2391" name="Group Box 343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1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OPCIONAL</a:t>
              </a:r>
            </a:p>
          </xdr:txBody>
        </xdr:sp>
        <xdr:clientData/>
      </xdr:twoCellAnchor>
    </mc:Choice>
    <mc:Fallback/>
  </mc:AlternateContent>
  <xdr:oneCellAnchor>
    <xdr:from>
      <xdr:col>11</xdr:col>
      <xdr:colOff>123826</xdr:colOff>
      <xdr:row>202</xdr:row>
      <xdr:rowOff>76701</xdr:rowOff>
    </xdr:from>
    <xdr:ext cx="2181225" cy="1895476"/>
    <xdr:pic>
      <xdr:nvPicPr>
        <xdr:cNvPr id="223" name="Imagem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6" y="12459201"/>
          <a:ext cx="2181225" cy="1895476"/>
        </a:xfrm>
        <a:prstGeom prst="rect">
          <a:avLst/>
        </a:prstGeom>
      </xdr:spPr>
    </xdr:pic>
    <xdr:clientData/>
  </xdr:oneCellAnchor>
  <xdr:oneCellAnchor>
    <xdr:from>
      <xdr:col>9</xdr:col>
      <xdr:colOff>100263</xdr:colOff>
      <xdr:row>202</xdr:row>
      <xdr:rowOff>106280</xdr:rowOff>
    </xdr:from>
    <xdr:ext cx="2204285" cy="1847851"/>
    <xdr:pic>
      <xdr:nvPicPr>
        <xdr:cNvPr id="224" name="Imagem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38" y="12488780"/>
          <a:ext cx="2204285" cy="1847851"/>
        </a:xfrm>
        <a:prstGeom prst="rect">
          <a:avLst/>
        </a:prstGeom>
      </xdr:spPr>
    </xdr:pic>
    <xdr:clientData/>
  </xdr:oneCellAnchor>
  <xdr:oneCellAnchor>
    <xdr:from>
      <xdr:col>13</xdr:col>
      <xdr:colOff>95250</xdr:colOff>
      <xdr:row>202</xdr:row>
      <xdr:rowOff>76200</xdr:rowOff>
    </xdr:from>
    <xdr:ext cx="2200275" cy="1885950"/>
    <xdr:pic>
      <xdr:nvPicPr>
        <xdr:cNvPr id="225" name="Imagem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12458700"/>
          <a:ext cx="2200275" cy="1885950"/>
        </a:xfrm>
        <a:prstGeom prst="rect">
          <a:avLst/>
        </a:prstGeom>
      </xdr:spPr>
    </xdr:pic>
    <xdr:clientData/>
  </xdr:oneCellAnchor>
  <xdr:oneCellAnchor>
    <xdr:from>
      <xdr:col>15</xdr:col>
      <xdr:colOff>171449</xdr:colOff>
      <xdr:row>202</xdr:row>
      <xdr:rowOff>76200</xdr:rowOff>
    </xdr:from>
    <xdr:ext cx="2200275" cy="1866901"/>
    <xdr:pic>
      <xdr:nvPicPr>
        <xdr:cNvPr id="226" name="Imagem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3899" y="45481875"/>
          <a:ext cx="2200275" cy="1866901"/>
        </a:xfrm>
        <a:prstGeom prst="rect">
          <a:avLst/>
        </a:prstGeom>
      </xdr:spPr>
    </xdr:pic>
    <xdr:clientData/>
  </xdr:oneCellAnchor>
  <xdr:oneCellAnchor>
    <xdr:from>
      <xdr:col>19</xdr:col>
      <xdr:colOff>630154</xdr:colOff>
      <xdr:row>202</xdr:row>
      <xdr:rowOff>171951</xdr:rowOff>
    </xdr:from>
    <xdr:ext cx="2636922" cy="1447299"/>
    <xdr:pic>
      <xdr:nvPicPr>
        <xdr:cNvPr id="227" name="Imagem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304" y="45577626"/>
          <a:ext cx="2636922" cy="14472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221</xdr:row>
          <xdr:rowOff>57150</xdr:rowOff>
        </xdr:from>
        <xdr:to>
          <xdr:col>21</xdr:col>
          <xdr:colOff>190500</xdr:colOff>
          <xdr:row>223</xdr:row>
          <xdr:rowOff>219075</xdr:rowOff>
        </xdr:to>
        <xdr:sp macro="" textlink="">
          <xdr:nvSpPr>
            <xdr:cNvPr id="2392" name="Group Box 344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1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TIPOS DE APOIO DE CABEÇA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222</xdr:row>
          <xdr:rowOff>228600</xdr:rowOff>
        </xdr:from>
        <xdr:to>
          <xdr:col>11</xdr:col>
          <xdr:colOff>2000250</xdr:colOff>
          <xdr:row>223</xdr:row>
          <xdr:rowOff>142875</xdr:rowOff>
        </xdr:to>
        <xdr:sp macro="" textlink="">
          <xdr:nvSpPr>
            <xdr:cNvPr id="2393" name="Option Button 345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1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BIOFORMA NA HASTE DO CURVO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752475</xdr:colOff>
          <xdr:row>222</xdr:row>
          <xdr:rowOff>238125</xdr:rowOff>
        </xdr:from>
        <xdr:to>
          <xdr:col>15</xdr:col>
          <xdr:colOff>476250</xdr:colOff>
          <xdr:row>223</xdr:row>
          <xdr:rowOff>152400</xdr:rowOff>
        </xdr:to>
        <xdr:sp macro="" textlink="">
          <xdr:nvSpPr>
            <xdr:cNvPr id="2394" name="Option Button 346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1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CURVO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152400</xdr:colOff>
          <xdr:row>232</xdr:row>
          <xdr:rowOff>133350</xdr:rowOff>
        </xdr:from>
        <xdr:to>
          <xdr:col>18</xdr:col>
          <xdr:colOff>19050</xdr:colOff>
          <xdr:row>236</xdr:row>
          <xdr:rowOff>95250</xdr:rowOff>
        </xdr:to>
        <xdr:sp macro="" textlink="">
          <xdr:nvSpPr>
            <xdr:cNvPr id="2395" name="Group Box 347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1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APOIO CABEÇA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314325</xdr:colOff>
          <xdr:row>222</xdr:row>
          <xdr:rowOff>257175</xdr:rowOff>
        </xdr:from>
        <xdr:to>
          <xdr:col>16</xdr:col>
          <xdr:colOff>1000125</xdr:colOff>
          <xdr:row>223</xdr:row>
          <xdr:rowOff>133350</xdr:rowOff>
        </xdr:to>
        <xdr:sp macro="" textlink="">
          <xdr:nvSpPr>
            <xdr:cNvPr id="2396" name="Option Button 348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1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CURVO COM APOIO CERVICAL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222</xdr:row>
          <xdr:rowOff>209550</xdr:rowOff>
        </xdr:from>
        <xdr:to>
          <xdr:col>9</xdr:col>
          <xdr:colOff>2133600</xdr:colOff>
          <xdr:row>223</xdr:row>
          <xdr:rowOff>133350</xdr:rowOff>
        </xdr:to>
        <xdr:sp macro="" textlink="">
          <xdr:nvSpPr>
            <xdr:cNvPr id="2397" name="Option Button 349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1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BIOFORMA   COM  VELCRO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476250</xdr:colOff>
          <xdr:row>222</xdr:row>
          <xdr:rowOff>228600</xdr:rowOff>
        </xdr:from>
        <xdr:to>
          <xdr:col>20</xdr:col>
          <xdr:colOff>609600</xdr:colOff>
          <xdr:row>223</xdr:row>
          <xdr:rowOff>152400</xdr:rowOff>
        </xdr:to>
        <xdr:sp macro="" textlink="">
          <xdr:nvSpPr>
            <xdr:cNvPr id="2398" name="Option Button 350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1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CURVO COM ORELHAS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114300</xdr:colOff>
          <xdr:row>232</xdr:row>
          <xdr:rowOff>95250</xdr:rowOff>
        </xdr:from>
        <xdr:to>
          <xdr:col>9</xdr:col>
          <xdr:colOff>2209800</xdr:colOff>
          <xdr:row>236</xdr:row>
          <xdr:rowOff>47625</xdr:rowOff>
        </xdr:to>
        <xdr:sp macro="" textlink="">
          <xdr:nvSpPr>
            <xdr:cNvPr id="2399" name="Group Box 351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1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BIOFORMA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676275</xdr:colOff>
          <xdr:row>232</xdr:row>
          <xdr:rowOff>190500</xdr:rowOff>
        </xdr:from>
        <xdr:to>
          <xdr:col>9</xdr:col>
          <xdr:colOff>2000250</xdr:colOff>
          <xdr:row>233</xdr:row>
          <xdr:rowOff>142875</xdr:rowOff>
        </xdr:to>
        <xdr:sp macro="" textlink="">
          <xdr:nvSpPr>
            <xdr:cNvPr id="2400" name="Option Button 352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1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685800</xdr:colOff>
          <xdr:row>233</xdr:row>
          <xdr:rowOff>104775</xdr:rowOff>
        </xdr:from>
        <xdr:to>
          <xdr:col>9</xdr:col>
          <xdr:colOff>1704975</xdr:colOff>
          <xdr:row>234</xdr:row>
          <xdr:rowOff>76200</xdr:rowOff>
        </xdr:to>
        <xdr:sp macro="" textlink="">
          <xdr:nvSpPr>
            <xdr:cNvPr id="2401" name="Option Button 353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1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685800</xdr:colOff>
          <xdr:row>234</xdr:row>
          <xdr:rowOff>123825</xdr:rowOff>
        </xdr:from>
        <xdr:to>
          <xdr:col>9</xdr:col>
          <xdr:colOff>1857375</xdr:colOff>
          <xdr:row>235</xdr:row>
          <xdr:rowOff>152400</xdr:rowOff>
        </xdr:to>
        <xdr:sp macro="" textlink="">
          <xdr:nvSpPr>
            <xdr:cNvPr id="2402" name="Option Button 354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1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232</xdr:row>
          <xdr:rowOff>114300</xdr:rowOff>
        </xdr:from>
        <xdr:to>
          <xdr:col>11</xdr:col>
          <xdr:colOff>2371725</xdr:colOff>
          <xdr:row>236</xdr:row>
          <xdr:rowOff>47625</xdr:rowOff>
        </xdr:to>
        <xdr:sp macro="" textlink="">
          <xdr:nvSpPr>
            <xdr:cNvPr id="2403" name="Group Box 355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1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BIOFORMA HASTE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771525</xdr:colOff>
          <xdr:row>232</xdr:row>
          <xdr:rowOff>228600</xdr:rowOff>
        </xdr:from>
        <xdr:to>
          <xdr:col>11</xdr:col>
          <xdr:colOff>1524000</xdr:colOff>
          <xdr:row>233</xdr:row>
          <xdr:rowOff>180975</xdr:rowOff>
        </xdr:to>
        <xdr:sp macro="" textlink="">
          <xdr:nvSpPr>
            <xdr:cNvPr id="2404" name="Option Button 356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1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771525</xdr:colOff>
          <xdr:row>233</xdr:row>
          <xdr:rowOff>133350</xdr:rowOff>
        </xdr:from>
        <xdr:to>
          <xdr:col>11</xdr:col>
          <xdr:colOff>1514475</xdr:colOff>
          <xdr:row>234</xdr:row>
          <xdr:rowOff>104775</xdr:rowOff>
        </xdr:to>
        <xdr:sp macro="" textlink="">
          <xdr:nvSpPr>
            <xdr:cNvPr id="2405" name="Option Button 357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1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752475</xdr:colOff>
          <xdr:row>234</xdr:row>
          <xdr:rowOff>133350</xdr:rowOff>
        </xdr:from>
        <xdr:to>
          <xdr:col>11</xdr:col>
          <xdr:colOff>1724025</xdr:colOff>
          <xdr:row>235</xdr:row>
          <xdr:rowOff>161925</xdr:rowOff>
        </xdr:to>
        <xdr:sp macro="" textlink="">
          <xdr:nvSpPr>
            <xdr:cNvPr id="2406" name="Option Button 358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1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232</xdr:row>
          <xdr:rowOff>133350</xdr:rowOff>
        </xdr:from>
        <xdr:to>
          <xdr:col>13</xdr:col>
          <xdr:colOff>2333625</xdr:colOff>
          <xdr:row>236</xdr:row>
          <xdr:rowOff>47625</xdr:rowOff>
        </xdr:to>
        <xdr:sp macro="" textlink="">
          <xdr:nvSpPr>
            <xdr:cNvPr id="2407" name="Group Box 359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1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CURVO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838200</xdr:colOff>
          <xdr:row>232</xdr:row>
          <xdr:rowOff>238125</xdr:rowOff>
        </xdr:from>
        <xdr:to>
          <xdr:col>13</xdr:col>
          <xdr:colOff>1638300</xdr:colOff>
          <xdr:row>233</xdr:row>
          <xdr:rowOff>190500</xdr:rowOff>
        </xdr:to>
        <xdr:sp macro="" textlink="">
          <xdr:nvSpPr>
            <xdr:cNvPr id="2408" name="Option Button 360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1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838200</xdr:colOff>
          <xdr:row>233</xdr:row>
          <xdr:rowOff>152400</xdr:rowOff>
        </xdr:from>
        <xdr:to>
          <xdr:col>13</xdr:col>
          <xdr:colOff>1724025</xdr:colOff>
          <xdr:row>234</xdr:row>
          <xdr:rowOff>123825</xdr:rowOff>
        </xdr:to>
        <xdr:sp macro="" textlink="">
          <xdr:nvSpPr>
            <xdr:cNvPr id="2409" name="Option Button 361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1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838200</xdr:colOff>
          <xdr:row>234</xdr:row>
          <xdr:rowOff>142875</xdr:rowOff>
        </xdr:from>
        <xdr:to>
          <xdr:col>13</xdr:col>
          <xdr:colOff>1857375</xdr:colOff>
          <xdr:row>235</xdr:row>
          <xdr:rowOff>171450</xdr:rowOff>
        </xdr:to>
        <xdr:sp macro="" textlink="">
          <xdr:nvSpPr>
            <xdr:cNvPr id="2410" name="Option Button 362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1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142875</xdr:colOff>
          <xdr:row>232</xdr:row>
          <xdr:rowOff>238125</xdr:rowOff>
        </xdr:from>
        <xdr:to>
          <xdr:col>16</xdr:col>
          <xdr:colOff>819150</xdr:colOff>
          <xdr:row>233</xdr:row>
          <xdr:rowOff>190500</xdr:rowOff>
        </xdr:to>
        <xdr:sp macro="" textlink="">
          <xdr:nvSpPr>
            <xdr:cNvPr id="2411" name="Option Button 363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1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 - CADEIRAS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142875</xdr:colOff>
          <xdr:row>233</xdr:row>
          <xdr:rowOff>171450</xdr:rowOff>
        </xdr:from>
        <xdr:to>
          <xdr:col>16</xdr:col>
          <xdr:colOff>942975</xdr:colOff>
          <xdr:row>234</xdr:row>
          <xdr:rowOff>142875</xdr:rowOff>
        </xdr:to>
        <xdr:sp macro="" textlink="">
          <xdr:nvSpPr>
            <xdr:cNvPr id="2412" name="Option Button 364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1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 - CADEIRAS 36-40-44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628650</xdr:colOff>
          <xdr:row>235</xdr:row>
          <xdr:rowOff>28575</xdr:rowOff>
        </xdr:from>
        <xdr:to>
          <xdr:col>16</xdr:col>
          <xdr:colOff>752475</xdr:colOff>
          <xdr:row>236</xdr:row>
          <xdr:rowOff>57150</xdr:rowOff>
        </xdr:to>
        <xdr:sp macro="" textlink="">
          <xdr:nvSpPr>
            <xdr:cNvPr id="2413" name="Option Button 365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1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oneCellAnchor>
    <xdr:from>
      <xdr:col>11</xdr:col>
      <xdr:colOff>114300</xdr:colOff>
      <xdr:row>224</xdr:row>
      <xdr:rowOff>66675</xdr:rowOff>
    </xdr:from>
    <xdr:ext cx="2114550" cy="1905000"/>
    <xdr:pic>
      <xdr:nvPicPr>
        <xdr:cNvPr id="250" name="Imagem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" y="56607075"/>
          <a:ext cx="2114550" cy="1905000"/>
        </a:xfrm>
        <a:prstGeom prst="rect">
          <a:avLst/>
        </a:prstGeom>
      </xdr:spPr>
    </xdr:pic>
    <xdr:clientData/>
  </xdr:oneCellAnchor>
  <xdr:oneCellAnchor>
    <xdr:from>
      <xdr:col>19</xdr:col>
      <xdr:colOff>104776</xdr:colOff>
      <xdr:row>224</xdr:row>
      <xdr:rowOff>66675</xdr:rowOff>
    </xdr:from>
    <xdr:ext cx="2114550" cy="1905000"/>
    <xdr:pic>
      <xdr:nvPicPr>
        <xdr:cNvPr id="251" name="Imagem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9926" y="56607075"/>
          <a:ext cx="2114550" cy="1905000"/>
        </a:xfrm>
        <a:prstGeom prst="rect">
          <a:avLst/>
        </a:prstGeom>
      </xdr:spPr>
    </xdr:pic>
    <xdr:clientData/>
  </xdr:oneCellAnchor>
  <xdr:oneCellAnchor>
    <xdr:from>
      <xdr:col>13</xdr:col>
      <xdr:colOff>66676</xdr:colOff>
      <xdr:row>224</xdr:row>
      <xdr:rowOff>76200</xdr:rowOff>
    </xdr:from>
    <xdr:ext cx="2228850" cy="1943100"/>
    <xdr:pic>
      <xdr:nvPicPr>
        <xdr:cNvPr id="252" name="Imagem 251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1" y="16649700"/>
          <a:ext cx="2228850" cy="1943100"/>
        </a:xfrm>
        <a:prstGeom prst="rect">
          <a:avLst/>
        </a:prstGeom>
      </xdr:spPr>
    </xdr:pic>
    <xdr:clientData/>
  </xdr:oneCellAnchor>
  <xdr:oneCellAnchor>
    <xdr:from>
      <xdr:col>15</xdr:col>
      <xdr:colOff>95250</xdr:colOff>
      <xdr:row>224</xdr:row>
      <xdr:rowOff>66675</xdr:rowOff>
    </xdr:from>
    <xdr:ext cx="2190750" cy="1952625"/>
    <xdr:pic>
      <xdr:nvPicPr>
        <xdr:cNvPr id="253" name="Imagem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56607075"/>
          <a:ext cx="2190750" cy="1952625"/>
        </a:xfrm>
        <a:prstGeom prst="rect">
          <a:avLst/>
        </a:prstGeom>
      </xdr:spPr>
    </xdr:pic>
    <xdr:clientData/>
  </xdr:oneCellAnchor>
  <xdr:twoCellAnchor>
    <xdr:from>
      <xdr:col>15</xdr:col>
      <xdr:colOff>457200</xdr:colOff>
      <xdr:row>227</xdr:row>
      <xdr:rowOff>190500</xdr:rowOff>
    </xdr:from>
    <xdr:to>
      <xdr:col>15</xdr:col>
      <xdr:colOff>762000</xdr:colOff>
      <xdr:row>229</xdr:row>
      <xdr:rowOff>76200</xdr:rowOff>
    </xdr:to>
    <xdr:sp macro="" textlink="">
      <xdr:nvSpPr>
        <xdr:cNvPr id="254" name="Seta: para Baixo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/>
      </xdr:nvSpPr>
      <xdr:spPr>
        <a:xfrm rot="19687790">
          <a:off x="8639175" y="17335500"/>
          <a:ext cx="304800" cy="266700"/>
        </a:xfrm>
        <a:prstGeom prst="downArrow">
          <a:avLst/>
        </a:prstGeom>
        <a:solidFill>
          <a:srgbClr val="FFFF00"/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133350</xdr:colOff>
          <xdr:row>243</xdr:row>
          <xdr:rowOff>133350</xdr:rowOff>
        </xdr:from>
        <xdr:to>
          <xdr:col>31</xdr:col>
          <xdr:colOff>800100</xdr:colOff>
          <xdr:row>244</xdr:row>
          <xdr:rowOff>161925</xdr:rowOff>
        </xdr:to>
        <xdr:sp macro="" textlink="">
          <xdr:nvSpPr>
            <xdr:cNvPr id="2414" name="Check Box 366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1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CINTO PEITORAL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142875</xdr:colOff>
          <xdr:row>270</xdr:row>
          <xdr:rowOff>66675</xdr:rowOff>
        </xdr:from>
        <xdr:to>
          <xdr:col>12</xdr:col>
          <xdr:colOff>85725</xdr:colOff>
          <xdr:row>274</xdr:row>
          <xdr:rowOff>114300</xdr:rowOff>
        </xdr:to>
        <xdr:sp macro="" textlink="">
          <xdr:nvSpPr>
            <xdr:cNvPr id="2415" name="Group Box 367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1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LOCALIZAÇÃO DO CINTO PÉLVICO PONTO FIXO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271</xdr:row>
          <xdr:rowOff>142875</xdr:rowOff>
        </xdr:from>
        <xdr:to>
          <xdr:col>11</xdr:col>
          <xdr:colOff>1562100</xdr:colOff>
          <xdr:row>272</xdr:row>
          <xdr:rowOff>171450</xdr:rowOff>
        </xdr:to>
        <xdr:sp macro="" textlink="">
          <xdr:nvSpPr>
            <xdr:cNvPr id="2416" name="Option Button 368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1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DIREITO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114300</xdr:colOff>
          <xdr:row>272</xdr:row>
          <xdr:rowOff>180975</xdr:rowOff>
        </xdr:from>
        <xdr:to>
          <xdr:col>11</xdr:col>
          <xdr:colOff>1409700</xdr:colOff>
          <xdr:row>274</xdr:row>
          <xdr:rowOff>19050</xdr:rowOff>
        </xdr:to>
        <xdr:sp macro="" textlink="">
          <xdr:nvSpPr>
            <xdr:cNvPr id="2417" name="Option Button 369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1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ESQUERDO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1133475</xdr:colOff>
          <xdr:row>272</xdr:row>
          <xdr:rowOff>28575</xdr:rowOff>
        </xdr:from>
        <xdr:to>
          <xdr:col>11</xdr:col>
          <xdr:colOff>2133600</xdr:colOff>
          <xdr:row>273</xdr:row>
          <xdr:rowOff>57150</xdr:rowOff>
        </xdr:to>
        <xdr:sp macro="" textlink="">
          <xdr:nvSpPr>
            <xdr:cNvPr id="2418" name="Option Button 370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1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857250</xdr:colOff>
          <xdr:row>261</xdr:row>
          <xdr:rowOff>85725</xdr:rowOff>
        </xdr:from>
        <xdr:to>
          <xdr:col>32</xdr:col>
          <xdr:colOff>762000</xdr:colOff>
          <xdr:row>261</xdr:row>
          <xdr:rowOff>323850</xdr:rowOff>
        </xdr:to>
        <xdr:sp macro="" textlink="">
          <xdr:nvSpPr>
            <xdr:cNvPr id="2419" name="Check Box 371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1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CINTO ABOMINAL</a:t>
              </a:r>
            </a:p>
          </xdr:txBody>
        </xdr:sp>
        <xdr:clientData/>
      </xdr:twoCellAnchor>
    </mc:Choice>
    <mc:Fallback/>
  </mc:AlternateContent>
  <xdr:twoCellAnchor>
    <xdr:from>
      <xdr:col>49</xdr:col>
      <xdr:colOff>0</xdr:colOff>
      <xdr:row>262</xdr:row>
      <xdr:rowOff>104775</xdr:rowOff>
    </xdr:from>
    <xdr:to>
      <xdr:col>51</xdr:col>
      <xdr:colOff>123825</xdr:colOff>
      <xdr:row>262</xdr:row>
      <xdr:rowOff>209550</xdr:rowOff>
    </xdr:to>
    <xdr:sp macro="" textlink="">
      <xdr:nvSpPr>
        <xdr:cNvPr id="264" name="Seta: para a Direita 26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/>
      </xdr:nvSpPr>
      <xdr:spPr>
        <a:xfrm>
          <a:off x="21012150" y="23917275"/>
          <a:ext cx="0" cy="857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561975</xdr:colOff>
          <xdr:row>244</xdr:row>
          <xdr:rowOff>333375</xdr:rowOff>
        </xdr:from>
        <xdr:to>
          <xdr:col>11</xdr:col>
          <xdr:colOff>1152525</xdr:colOff>
          <xdr:row>252</xdr:row>
          <xdr:rowOff>114300</xdr:rowOff>
        </xdr:to>
        <xdr:sp macro="" textlink="">
          <xdr:nvSpPr>
            <xdr:cNvPr id="2420" name="Group Box 372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1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O TAMANHO DO CINTO PARA TRONCO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1371600</xdr:colOff>
          <xdr:row>250</xdr:row>
          <xdr:rowOff>66675</xdr:rowOff>
        </xdr:from>
        <xdr:to>
          <xdr:col>11</xdr:col>
          <xdr:colOff>723900</xdr:colOff>
          <xdr:row>250</xdr:row>
          <xdr:rowOff>285750</xdr:rowOff>
        </xdr:to>
        <xdr:sp macro="" textlink="">
          <xdr:nvSpPr>
            <xdr:cNvPr id="2421" name="Option Button 373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1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1381125</xdr:colOff>
          <xdr:row>250</xdr:row>
          <xdr:rowOff>285750</xdr:rowOff>
        </xdr:from>
        <xdr:to>
          <xdr:col>11</xdr:col>
          <xdr:colOff>9525</xdr:colOff>
          <xdr:row>251</xdr:row>
          <xdr:rowOff>76200</xdr:rowOff>
        </xdr:to>
        <xdr:sp macro="" textlink="">
          <xdr:nvSpPr>
            <xdr:cNvPr id="2422" name="Option Button 374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1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261</xdr:row>
          <xdr:rowOff>171450</xdr:rowOff>
        </xdr:from>
        <xdr:to>
          <xdr:col>9</xdr:col>
          <xdr:colOff>2362200</xdr:colOff>
          <xdr:row>269</xdr:row>
          <xdr:rowOff>228600</xdr:rowOff>
        </xdr:to>
        <xdr:sp macro="" textlink="">
          <xdr:nvSpPr>
            <xdr:cNvPr id="2423" name="Group Box 375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1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ODO CINTO PARA QUADRIL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438150</xdr:colOff>
          <xdr:row>267</xdr:row>
          <xdr:rowOff>95250</xdr:rowOff>
        </xdr:from>
        <xdr:to>
          <xdr:col>9</xdr:col>
          <xdr:colOff>1800225</xdr:colOff>
          <xdr:row>268</xdr:row>
          <xdr:rowOff>28575</xdr:rowOff>
        </xdr:to>
        <xdr:sp macro="" textlink="">
          <xdr:nvSpPr>
            <xdr:cNvPr id="2424" name="Option Button 376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1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268</xdr:row>
          <xdr:rowOff>66675</xdr:rowOff>
        </xdr:from>
        <xdr:to>
          <xdr:col>9</xdr:col>
          <xdr:colOff>1657350</xdr:colOff>
          <xdr:row>268</xdr:row>
          <xdr:rowOff>285750</xdr:rowOff>
        </xdr:to>
        <xdr:sp macro="" textlink="">
          <xdr:nvSpPr>
            <xdr:cNvPr id="2425" name="Option Button 377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1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263</xdr:row>
          <xdr:rowOff>66675</xdr:rowOff>
        </xdr:from>
        <xdr:to>
          <xdr:col>9</xdr:col>
          <xdr:colOff>2076450</xdr:colOff>
          <xdr:row>263</xdr:row>
          <xdr:rowOff>266700</xdr:rowOff>
        </xdr:to>
        <xdr:sp macro="" textlink="">
          <xdr:nvSpPr>
            <xdr:cNvPr id="2426" name="Option Button 378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1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 COLOCAR CINTO DE QUADRIL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1228725</xdr:colOff>
          <xdr:row>246</xdr:row>
          <xdr:rowOff>285750</xdr:rowOff>
        </xdr:from>
        <xdr:to>
          <xdr:col>11</xdr:col>
          <xdr:colOff>800100</xdr:colOff>
          <xdr:row>247</xdr:row>
          <xdr:rowOff>209550</xdr:rowOff>
        </xdr:to>
        <xdr:sp macro="" textlink="">
          <xdr:nvSpPr>
            <xdr:cNvPr id="2427" name="Option Button 379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1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NÃO COLOCAR CINTO DE TRONCO</a:t>
              </a:r>
            </a:p>
          </xdr:txBody>
        </xdr:sp>
        <xdr:clientData/>
      </xdr:twoCellAnchor>
    </mc:Choice>
    <mc:Fallback/>
  </mc:AlternateContent>
  <xdr:oneCellAnchor>
    <xdr:from>
      <xdr:col>9</xdr:col>
      <xdr:colOff>978483</xdr:colOff>
      <xdr:row>245</xdr:row>
      <xdr:rowOff>19050</xdr:rowOff>
    </xdr:from>
    <xdr:ext cx="2374317" cy="581026"/>
    <xdr:sp macro="" textlink="">
      <xdr:nvSpPr>
        <xdr:cNvPr id="273" name="Retângulo 272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/>
      </xdr:nvSpPr>
      <xdr:spPr>
        <a:xfrm>
          <a:off x="1388058" y="20593050"/>
          <a:ext cx="2374317" cy="58102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SEM CINTO</a:t>
          </a:r>
        </a:p>
      </xdr:txBody>
    </xdr:sp>
    <xdr:clientData/>
  </xdr:oneCellAnchor>
  <xdr:oneCellAnchor>
    <xdr:from>
      <xdr:col>8</xdr:col>
      <xdr:colOff>180975</xdr:colOff>
      <xdr:row>261</xdr:row>
      <xdr:rowOff>228600</xdr:rowOff>
    </xdr:from>
    <xdr:ext cx="2374317" cy="581026"/>
    <xdr:sp macro="" textlink="">
      <xdr:nvSpPr>
        <xdr:cNvPr id="274" name="Retângulo 27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/>
      </xdr:nvSpPr>
      <xdr:spPr>
        <a:xfrm>
          <a:off x="333375" y="23812500"/>
          <a:ext cx="2374317" cy="581026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pt-BR" sz="36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SEM CINTO</a:t>
          </a:r>
        </a:p>
      </xdr:txBody>
    </xdr:sp>
    <xdr:clientData/>
  </xdr:oneCellAnchor>
  <xdr:oneCellAnchor>
    <xdr:from>
      <xdr:col>9</xdr:col>
      <xdr:colOff>1338754</xdr:colOff>
      <xdr:row>248</xdr:row>
      <xdr:rowOff>145548</xdr:rowOff>
    </xdr:from>
    <xdr:ext cx="1322991" cy="374141"/>
    <xdr:sp macro="" textlink="">
      <xdr:nvSpPr>
        <xdr:cNvPr id="275" name="Retângulo 27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/>
      </xdr:nvSpPr>
      <xdr:spPr>
        <a:xfrm>
          <a:off x="1748329" y="21291048"/>
          <a:ext cx="1322991" cy="37414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1800" b="1" cap="none" spc="0">
              <a:ln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COM CINTO</a:t>
          </a:r>
        </a:p>
      </xdr:txBody>
    </xdr:sp>
    <xdr:clientData/>
  </xdr:oneCellAnchor>
  <xdr:oneCellAnchor>
    <xdr:from>
      <xdr:col>9</xdr:col>
      <xdr:colOff>390525</xdr:colOff>
      <xdr:row>265</xdr:row>
      <xdr:rowOff>266700</xdr:rowOff>
    </xdr:from>
    <xdr:ext cx="1322991" cy="374141"/>
    <xdr:sp macro="" textlink="">
      <xdr:nvSpPr>
        <xdr:cNvPr id="276" name="Retângulo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/>
      </xdr:nvSpPr>
      <xdr:spPr>
        <a:xfrm>
          <a:off x="800100" y="24574500"/>
          <a:ext cx="1322991" cy="37414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1800" b="1" cap="none" spc="0">
              <a:ln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lumMod val="50000"/>
                    <a:alpha val="40000"/>
                  </a:schemeClr>
                </a:outerShdw>
              </a:effectLst>
            </a:rPr>
            <a:t>COM CINTO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242</xdr:row>
          <xdr:rowOff>200025</xdr:rowOff>
        </xdr:from>
        <xdr:to>
          <xdr:col>26</xdr:col>
          <xdr:colOff>47625</xdr:colOff>
          <xdr:row>244</xdr:row>
          <xdr:rowOff>314325</xdr:rowOff>
        </xdr:to>
        <xdr:sp macro="" textlink="">
          <xdr:nvSpPr>
            <xdr:cNvPr id="2428" name="Group Box 380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1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TIPOS DE  CINTOS PARA O TRONCO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314325</xdr:colOff>
          <xdr:row>244</xdr:row>
          <xdr:rowOff>28575</xdr:rowOff>
        </xdr:from>
        <xdr:to>
          <xdr:col>13</xdr:col>
          <xdr:colOff>2209800</xdr:colOff>
          <xdr:row>244</xdr:row>
          <xdr:rowOff>285750</xdr:rowOff>
        </xdr:to>
        <xdr:sp macro="" textlink="">
          <xdr:nvSpPr>
            <xdr:cNvPr id="2429" name="Option Button 381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1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SUSPENSÓRIO ESCAPULAR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419100</xdr:colOff>
          <xdr:row>244</xdr:row>
          <xdr:rowOff>47625</xdr:rowOff>
        </xdr:from>
        <xdr:to>
          <xdr:col>16</xdr:col>
          <xdr:colOff>781050</xdr:colOff>
          <xdr:row>244</xdr:row>
          <xdr:rowOff>266700</xdr:rowOff>
        </xdr:to>
        <xdr:sp macro="" textlink="">
          <xdr:nvSpPr>
            <xdr:cNvPr id="2430" name="Option Button 382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1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TORÁXICO EM "H"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866775</xdr:colOff>
          <xdr:row>244</xdr:row>
          <xdr:rowOff>76200</xdr:rowOff>
        </xdr:from>
        <xdr:to>
          <xdr:col>23</xdr:col>
          <xdr:colOff>904875</xdr:colOff>
          <xdr:row>244</xdr:row>
          <xdr:rowOff>285750</xdr:rowOff>
        </xdr:to>
        <xdr:sp macro="" textlink="">
          <xdr:nvSpPr>
            <xdr:cNvPr id="2431" name="Option Button 383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1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CAMISETA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260</xdr:row>
          <xdr:rowOff>57150</xdr:rowOff>
        </xdr:from>
        <xdr:to>
          <xdr:col>29</xdr:col>
          <xdr:colOff>257175</xdr:colOff>
          <xdr:row>261</xdr:row>
          <xdr:rowOff>457200</xdr:rowOff>
        </xdr:to>
        <xdr:sp macro="" textlink="">
          <xdr:nvSpPr>
            <xdr:cNvPr id="2432" name="Group Box 384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1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TIPOS DE CINTO PARA O QUADRIL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261</xdr:row>
          <xdr:rowOff>180975</xdr:rowOff>
        </xdr:from>
        <xdr:to>
          <xdr:col>11</xdr:col>
          <xdr:colOff>2076450</xdr:colOff>
          <xdr:row>261</xdr:row>
          <xdr:rowOff>409575</xdr:rowOff>
        </xdr:to>
        <xdr:sp macro="" textlink="">
          <xdr:nvSpPr>
            <xdr:cNvPr id="2433" name="Option Button 385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1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PELVICO DE PONTO FIXO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523875</xdr:colOff>
          <xdr:row>261</xdr:row>
          <xdr:rowOff>200025</xdr:rowOff>
        </xdr:from>
        <xdr:to>
          <xdr:col>13</xdr:col>
          <xdr:colOff>1952625</xdr:colOff>
          <xdr:row>261</xdr:row>
          <xdr:rowOff>428625</xdr:rowOff>
        </xdr:to>
        <xdr:sp macro="" textlink="">
          <xdr:nvSpPr>
            <xdr:cNvPr id="2434" name="Option Button 386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1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PÉLVICO SOLTO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261</xdr:row>
          <xdr:rowOff>190500</xdr:rowOff>
        </xdr:from>
        <xdr:to>
          <xdr:col>20</xdr:col>
          <xdr:colOff>714375</xdr:colOff>
          <xdr:row>261</xdr:row>
          <xdr:rowOff>400050</xdr:rowOff>
        </xdr:to>
        <xdr:sp macro="" textlink="">
          <xdr:nvSpPr>
            <xdr:cNvPr id="2435" name="Option Button 387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1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ABDUTOR CONTRA FLEXÃO DO QUADRIL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333375</xdr:colOff>
          <xdr:row>261</xdr:row>
          <xdr:rowOff>200025</xdr:rowOff>
        </xdr:from>
        <xdr:to>
          <xdr:col>16</xdr:col>
          <xdr:colOff>771525</xdr:colOff>
          <xdr:row>261</xdr:row>
          <xdr:rowOff>419100</xdr:rowOff>
        </xdr:to>
        <xdr:sp macro="" textlink="">
          <xdr:nvSpPr>
            <xdr:cNvPr id="2436" name="Option Button 388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1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PÉLVICO EM "V"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457200</xdr:colOff>
          <xdr:row>261</xdr:row>
          <xdr:rowOff>171450</xdr:rowOff>
        </xdr:from>
        <xdr:to>
          <xdr:col>28</xdr:col>
          <xdr:colOff>781050</xdr:colOff>
          <xdr:row>261</xdr:row>
          <xdr:rowOff>400050</xdr:rowOff>
        </xdr:to>
        <xdr:sp macro="" textlink="">
          <xdr:nvSpPr>
            <xdr:cNvPr id="2437" name="Option Button 389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1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EM "Y"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171450</xdr:colOff>
          <xdr:row>242</xdr:row>
          <xdr:rowOff>180975</xdr:rowOff>
        </xdr:from>
        <xdr:to>
          <xdr:col>31</xdr:col>
          <xdr:colOff>1114425</xdr:colOff>
          <xdr:row>244</xdr:row>
          <xdr:rowOff>266700</xdr:rowOff>
        </xdr:to>
        <xdr:sp macro="" textlink="">
          <xdr:nvSpPr>
            <xdr:cNvPr id="2438" name="Group Box 390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1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FIXAÇÃO EXTRA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304800</xdr:colOff>
          <xdr:row>259</xdr:row>
          <xdr:rowOff>304800</xdr:rowOff>
        </xdr:from>
        <xdr:to>
          <xdr:col>33</xdr:col>
          <xdr:colOff>342900</xdr:colOff>
          <xdr:row>261</xdr:row>
          <xdr:rowOff>457200</xdr:rowOff>
        </xdr:to>
        <xdr:sp macro="" textlink="">
          <xdr:nvSpPr>
            <xdr:cNvPr id="2439" name="Group Box 391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1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FIXAÇÃO EXTRA</a:t>
              </a:r>
            </a:p>
          </xdr:txBody>
        </xdr:sp>
        <xdr:clientData/>
      </xdr:twoCellAnchor>
    </mc:Choice>
    <mc:Fallback/>
  </mc:AlternateContent>
  <xdr:oneCellAnchor>
    <xdr:from>
      <xdr:col>18</xdr:col>
      <xdr:colOff>133351</xdr:colOff>
      <xdr:row>262</xdr:row>
      <xdr:rowOff>71425</xdr:rowOff>
    </xdr:from>
    <xdr:ext cx="2247899" cy="1785950"/>
    <xdr:pic>
      <xdr:nvPicPr>
        <xdr:cNvPr id="290" name="Imagem 289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1" y="66898825"/>
          <a:ext cx="2247899" cy="1785950"/>
        </a:xfrm>
        <a:prstGeom prst="rect">
          <a:avLst/>
        </a:prstGeom>
      </xdr:spPr>
    </xdr:pic>
    <xdr:clientData/>
  </xdr:oneCellAnchor>
  <xdr:oneCellAnchor>
    <xdr:from>
      <xdr:col>13</xdr:col>
      <xdr:colOff>133350</xdr:colOff>
      <xdr:row>262</xdr:row>
      <xdr:rowOff>38101</xdr:rowOff>
    </xdr:from>
    <xdr:ext cx="2162175" cy="1809749"/>
    <xdr:pic>
      <xdr:nvPicPr>
        <xdr:cNvPr id="291" name="Imagem 290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23850601"/>
          <a:ext cx="2162175" cy="1809749"/>
        </a:xfrm>
        <a:prstGeom prst="rect">
          <a:avLst/>
        </a:prstGeom>
      </xdr:spPr>
    </xdr:pic>
    <xdr:clientData/>
  </xdr:oneCellAnchor>
  <xdr:oneCellAnchor>
    <xdr:from>
      <xdr:col>31</xdr:col>
      <xdr:colOff>161925</xdr:colOff>
      <xdr:row>262</xdr:row>
      <xdr:rowOff>85726</xdr:rowOff>
    </xdr:from>
    <xdr:ext cx="2343150" cy="1904999"/>
    <xdr:pic>
      <xdr:nvPicPr>
        <xdr:cNvPr id="292" name="Imagem 291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66913126"/>
          <a:ext cx="2343150" cy="1904999"/>
        </a:xfrm>
        <a:prstGeom prst="rect">
          <a:avLst/>
        </a:prstGeom>
      </xdr:spPr>
    </xdr:pic>
    <xdr:clientData/>
  </xdr:oneCellAnchor>
  <xdr:twoCellAnchor>
    <xdr:from>
      <xdr:col>30</xdr:col>
      <xdr:colOff>219786</xdr:colOff>
      <xdr:row>247</xdr:row>
      <xdr:rowOff>84275</xdr:rowOff>
    </xdr:from>
    <xdr:to>
      <xdr:col>31</xdr:col>
      <xdr:colOff>411020</xdr:colOff>
      <xdr:row>248</xdr:row>
      <xdr:rowOff>219344</xdr:rowOff>
    </xdr:to>
    <xdr:sp macro="" textlink="">
      <xdr:nvSpPr>
        <xdr:cNvPr id="294" name="Seta: para a Direita 29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/>
      </xdr:nvSpPr>
      <xdr:spPr>
        <a:xfrm rot="2847189">
          <a:off x="18650169" y="57320492"/>
          <a:ext cx="582744" cy="46745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22</xdr:col>
      <xdr:colOff>114301</xdr:colOff>
      <xdr:row>262</xdr:row>
      <xdr:rowOff>123825</xdr:rowOff>
    </xdr:from>
    <xdr:ext cx="2362199" cy="1866900"/>
    <xdr:pic>
      <xdr:nvPicPr>
        <xdr:cNvPr id="295" name="Imagem 29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1" y="66951225"/>
          <a:ext cx="2362199" cy="1866900"/>
        </a:xfrm>
        <a:prstGeom prst="rect">
          <a:avLst/>
        </a:prstGeom>
      </xdr:spPr>
    </xdr:pic>
    <xdr:clientData/>
  </xdr:oneCellAnchor>
  <xdr:twoCellAnchor>
    <xdr:from>
      <xdr:col>23</xdr:col>
      <xdr:colOff>295275</xdr:colOff>
      <xdr:row>265</xdr:row>
      <xdr:rowOff>9525</xdr:rowOff>
    </xdr:from>
    <xdr:to>
      <xdr:col>23</xdr:col>
      <xdr:colOff>1095375</xdr:colOff>
      <xdr:row>268</xdr:row>
      <xdr:rowOff>76200</xdr:rowOff>
    </xdr:to>
    <xdr:sp macro="" textlink="">
      <xdr:nvSpPr>
        <xdr:cNvPr id="296" name="Forma Livre: Forma 29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/>
      </xdr:nvSpPr>
      <xdr:spPr>
        <a:xfrm>
          <a:off x="14620875" y="62293500"/>
          <a:ext cx="800100" cy="952500"/>
        </a:xfrm>
        <a:custGeom>
          <a:avLst/>
          <a:gdLst>
            <a:gd name="connsiteX0" fmla="*/ 0 w 647700"/>
            <a:gd name="connsiteY0" fmla="*/ 877510 h 877510"/>
            <a:gd name="connsiteX1" fmla="*/ 114300 w 647700"/>
            <a:gd name="connsiteY1" fmla="*/ 582235 h 877510"/>
            <a:gd name="connsiteX2" fmla="*/ 352425 w 647700"/>
            <a:gd name="connsiteY2" fmla="*/ 372685 h 877510"/>
            <a:gd name="connsiteX3" fmla="*/ 504825 w 647700"/>
            <a:gd name="connsiteY3" fmla="*/ 191710 h 877510"/>
            <a:gd name="connsiteX4" fmla="*/ 647700 w 647700"/>
            <a:gd name="connsiteY4" fmla="*/ 1210 h 87751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47700" h="877510">
              <a:moveTo>
                <a:pt x="0" y="877510"/>
              </a:moveTo>
              <a:cubicBezTo>
                <a:pt x="27781" y="771941"/>
                <a:pt x="55563" y="666372"/>
                <a:pt x="114300" y="582235"/>
              </a:cubicBezTo>
              <a:cubicBezTo>
                <a:pt x="173037" y="498098"/>
                <a:pt x="287338" y="437772"/>
                <a:pt x="352425" y="372685"/>
              </a:cubicBezTo>
              <a:cubicBezTo>
                <a:pt x="417512" y="307598"/>
                <a:pt x="455613" y="253622"/>
                <a:pt x="504825" y="191710"/>
              </a:cubicBezTo>
              <a:cubicBezTo>
                <a:pt x="554037" y="129798"/>
                <a:pt x="604838" y="-14665"/>
                <a:pt x="647700" y="1210"/>
              </a:cubicBezTo>
            </a:path>
          </a:pathLst>
        </a:custGeom>
        <a:noFill/>
        <a:ln w="571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22</xdr:col>
      <xdr:colOff>466725</xdr:colOff>
      <xdr:row>265</xdr:row>
      <xdr:rowOff>123825</xdr:rowOff>
    </xdr:from>
    <xdr:to>
      <xdr:col>23</xdr:col>
      <xdr:colOff>161925</xdr:colOff>
      <xdr:row>268</xdr:row>
      <xdr:rowOff>95250</xdr:rowOff>
    </xdr:to>
    <xdr:sp macro="" textlink="">
      <xdr:nvSpPr>
        <xdr:cNvPr id="297" name="Forma Livre: Forma 296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/>
      </xdr:nvSpPr>
      <xdr:spPr>
        <a:xfrm>
          <a:off x="13468350" y="62407800"/>
          <a:ext cx="1019175" cy="857250"/>
        </a:xfrm>
        <a:custGeom>
          <a:avLst/>
          <a:gdLst>
            <a:gd name="connsiteX0" fmla="*/ 1096103 w 1096103"/>
            <a:gd name="connsiteY0" fmla="*/ 1024681 h 1024681"/>
            <a:gd name="connsiteX1" fmla="*/ 1000853 w 1096103"/>
            <a:gd name="connsiteY1" fmla="*/ 862756 h 1024681"/>
            <a:gd name="connsiteX2" fmla="*/ 800828 w 1096103"/>
            <a:gd name="connsiteY2" fmla="*/ 596056 h 1024681"/>
            <a:gd name="connsiteX3" fmla="*/ 553178 w 1096103"/>
            <a:gd name="connsiteY3" fmla="*/ 472231 h 1024681"/>
            <a:gd name="connsiteX4" fmla="*/ 248378 w 1096103"/>
            <a:gd name="connsiteY4" fmla="*/ 319831 h 1024681"/>
            <a:gd name="connsiteX5" fmla="*/ 57878 w 1096103"/>
            <a:gd name="connsiteY5" fmla="*/ 24556 h 102468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096103" h="1024681">
              <a:moveTo>
                <a:pt x="1096103" y="1024681"/>
              </a:moveTo>
              <a:cubicBezTo>
                <a:pt x="1073084" y="979437"/>
                <a:pt x="1050065" y="934193"/>
                <a:pt x="1000853" y="862756"/>
              </a:cubicBezTo>
              <a:cubicBezTo>
                <a:pt x="951640" y="791318"/>
                <a:pt x="875440" y="661143"/>
                <a:pt x="800828" y="596056"/>
              </a:cubicBezTo>
              <a:cubicBezTo>
                <a:pt x="726215" y="530968"/>
                <a:pt x="553178" y="472231"/>
                <a:pt x="553178" y="472231"/>
              </a:cubicBezTo>
              <a:cubicBezTo>
                <a:pt x="461103" y="426194"/>
                <a:pt x="330928" y="394443"/>
                <a:pt x="248378" y="319831"/>
              </a:cubicBezTo>
              <a:cubicBezTo>
                <a:pt x="165828" y="245219"/>
                <a:pt x="-121510" y="-92919"/>
                <a:pt x="57878" y="24556"/>
              </a:cubicBezTo>
            </a:path>
          </a:pathLst>
        </a:custGeom>
        <a:noFill/>
        <a:ln w="5715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657225</xdr:colOff>
          <xdr:row>244</xdr:row>
          <xdr:rowOff>28575</xdr:rowOff>
        </xdr:from>
        <xdr:to>
          <xdr:col>19</xdr:col>
          <xdr:colOff>1371600</xdr:colOff>
          <xdr:row>244</xdr:row>
          <xdr:rowOff>257175</xdr:rowOff>
        </xdr:to>
        <xdr:sp macro="" textlink="">
          <xdr:nvSpPr>
            <xdr:cNvPr id="2441" name="Option Button 393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1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CINTO "BABADOR"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428625</xdr:colOff>
          <xdr:row>253</xdr:row>
          <xdr:rowOff>104775</xdr:rowOff>
        </xdr:from>
        <xdr:to>
          <xdr:col>23</xdr:col>
          <xdr:colOff>1143000</xdr:colOff>
          <xdr:row>256</xdr:row>
          <xdr:rowOff>133350</xdr:rowOff>
        </xdr:to>
        <xdr:sp macro="" textlink="">
          <xdr:nvSpPr>
            <xdr:cNvPr id="2442" name="Group Box 394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1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DEFINA O TIPO DE CINTO CAMISETA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1028700</xdr:colOff>
          <xdr:row>254</xdr:row>
          <xdr:rowOff>28575</xdr:rowOff>
        </xdr:from>
        <xdr:to>
          <xdr:col>23</xdr:col>
          <xdr:colOff>1028700</xdr:colOff>
          <xdr:row>255</xdr:row>
          <xdr:rowOff>47625</xdr:rowOff>
        </xdr:to>
        <xdr:sp macro="" textlink="">
          <xdr:nvSpPr>
            <xdr:cNvPr id="2443" name="Option Button 395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1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VERSÃO SIMPLES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1028700</xdr:colOff>
          <xdr:row>255</xdr:row>
          <xdr:rowOff>9525</xdr:rowOff>
        </xdr:from>
        <xdr:to>
          <xdr:col>23</xdr:col>
          <xdr:colOff>1066800</xdr:colOff>
          <xdr:row>255</xdr:row>
          <xdr:rowOff>228600</xdr:rowOff>
        </xdr:to>
        <xdr:sp macro="" textlink="">
          <xdr:nvSpPr>
            <xdr:cNvPr id="2444" name="Option Button 396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1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VERSÃO ESPECIAL</a:t>
              </a:r>
            </a:p>
          </xdr:txBody>
        </xdr:sp>
        <xdr:clientData/>
      </xdr:twoCellAnchor>
    </mc:Choice>
    <mc:Fallback/>
  </mc:AlternateContent>
  <xdr:twoCellAnchor>
    <xdr:from>
      <xdr:col>22</xdr:col>
      <xdr:colOff>1142820</xdr:colOff>
      <xdr:row>250</xdr:row>
      <xdr:rowOff>409754</xdr:rowOff>
    </xdr:from>
    <xdr:to>
      <xdr:col>23</xdr:col>
      <xdr:colOff>142874</xdr:colOff>
      <xdr:row>251</xdr:row>
      <xdr:rowOff>142875</xdr:rowOff>
    </xdr:to>
    <xdr:sp macro="" textlink="">
      <xdr:nvSpPr>
        <xdr:cNvPr id="303" name="Seta: para a Direita 138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/>
      </xdr:nvSpPr>
      <xdr:spPr>
        <a:xfrm>
          <a:off x="14420670" y="58531304"/>
          <a:ext cx="324029" cy="161746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22</xdr:col>
      <xdr:colOff>1276170</xdr:colOff>
      <xdr:row>245</xdr:row>
      <xdr:rowOff>133528</xdr:rowOff>
    </xdr:from>
    <xdr:to>
      <xdr:col>23</xdr:col>
      <xdr:colOff>276225</xdr:colOff>
      <xdr:row>246</xdr:row>
      <xdr:rowOff>9524</xdr:rowOff>
    </xdr:to>
    <xdr:sp macro="" textlink="">
      <xdr:nvSpPr>
        <xdr:cNvPr id="304" name="Seta: para a Direita 138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/>
      </xdr:nvSpPr>
      <xdr:spPr>
        <a:xfrm rot="10800000">
          <a:off x="14277795" y="56721553"/>
          <a:ext cx="324030" cy="171271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1943100</xdr:colOff>
          <xdr:row>242</xdr:row>
          <xdr:rowOff>285750</xdr:rowOff>
        </xdr:from>
        <xdr:to>
          <xdr:col>18</xdr:col>
          <xdr:colOff>9525</xdr:colOff>
          <xdr:row>244</xdr:row>
          <xdr:rowOff>0</xdr:rowOff>
        </xdr:to>
        <xdr:sp macro="" textlink="">
          <xdr:nvSpPr>
            <xdr:cNvPr id="2445" name="Option Button 397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1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xdr:oneCellAnchor>
    <xdr:from>
      <xdr:col>11</xdr:col>
      <xdr:colOff>1756326</xdr:colOff>
      <xdr:row>265</xdr:row>
      <xdr:rowOff>183648</xdr:rowOff>
    </xdr:from>
    <xdr:ext cx="621196" cy="937629"/>
    <xdr:sp macro="" textlink="">
      <xdr:nvSpPr>
        <xdr:cNvPr id="313" name="Retângulo 312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/>
      </xdr:nvSpPr>
      <xdr:spPr>
        <a:xfrm>
          <a:off x="4747176" y="24567648"/>
          <a:ext cx="62119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D</a:t>
          </a:r>
        </a:p>
      </xdr:txBody>
    </xdr:sp>
    <xdr:clientData/>
  </xdr:oneCellAnchor>
  <xdr:oneCellAnchor>
    <xdr:from>
      <xdr:col>11</xdr:col>
      <xdr:colOff>1777123</xdr:colOff>
      <xdr:row>262</xdr:row>
      <xdr:rowOff>59823</xdr:rowOff>
    </xdr:from>
    <xdr:ext cx="522451" cy="937629"/>
    <xdr:sp macro="" textlink="">
      <xdr:nvSpPr>
        <xdr:cNvPr id="314" name="Retângulo 31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/>
      </xdr:nvSpPr>
      <xdr:spPr>
        <a:xfrm>
          <a:off x="4767973" y="23872323"/>
          <a:ext cx="52245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5400" b="1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E</a:t>
          </a:r>
        </a:p>
      </xdr:txBody>
    </xdr:sp>
    <xdr:clientData/>
  </xdr:oneCellAnchor>
  <xdr:twoCellAnchor>
    <xdr:from>
      <xdr:col>11</xdr:col>
      <xdr:colOff>1247864</xdr:colOff>
      <xdr:row>262</xdr:row>
      <xdr:rowOff>85815</xdr:rowOff>
    </xdr:from>
    <xdr:to>
      <xdr:col>11</xdr:col>
      <xdr:colOff>1428839</xdr:colOff>
      <xdr:row>263</xdr:row>
      <xdr:rowOff>161836</xdr:rowOff>
    </xdr:to>
    <xdr:sp macro="" textlink="">
      <xdr:nvSpPr>
        <xdr:cNvPr id="315" name="Seta: para a Direita 138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/>
      </xdr:nvSpPr>
      <xdr:spPr>
        <a:xfrm rot="18341952" flipH="1">
          <a:off x="4195941" y="23941088"/>
          <a:ext cx="266521" cy="180975"/>
        </a:xfrm>
        <a:prstGeom prst="rightArrow">
          <a:avLst/>
        </a:prstGeom>
        <a:solidFill>
          <a:srgbClr val="FF0000"/>
        </a:solidFill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11</xdr:col>
      <xdr:colOff>394004</xdr:colOff>
      <xdr:row>266</xdr:row>
      <xdr:rowOff>246751</xdr:rowOff>
    </xdr:from>
    <xdr:to>
      <xdr:col>11</xdr:col>
      <xdr:colOff>602278</xdr:colOff>
      <xdr:row>267</xdr:row>
      <xdr:rowOff>287783</xdr:rowOff>
    </xdr:to>
    <xdr:sp macro="" textlink="">
      <xdr:nvSpPr>
        <xdr:cNvPr id="316" name="Seta: para a Direita 138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/>
      </xdr:nvSpPr>
      <xdr:spPr>
        <a:xfrm rot="18588927">
          <a:off x="3392275" y="24756680"/>
          <a:ext cx="193432" cy="208274"/>
        </a:xfrm>
        <a:prstGeom prst="rightArrow">
          <a:avLst/>
        </a:prstGeom>
        <a:solidFill>
          <a:srgbClr val="FF0000"/>
        </a:solidFill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293</xdr:row>
          <xdr:rowOff>104775</xdr:rowOff>
        </xdr:from>
        <xdr:to>
          <xdr:col>9</xdr:col>
          <xdr:colOff>2305050</xdr:colOff>
          <xdr:row>298</xdr:row>
          <xdr:rowOff>152400</xdr:rowOff>
        </xdr:to>
        <xdr:sp macro="" textlink="">
          <xdr:nvSpPr>
            <xdr:cNvPr id="2446" name="Group Box 398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1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TAMANHO MESA PLASTICA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293</xdr:row>
          <xdr:rowOff>104775</xdr:rowOff>
        </xdr:from>
        <xdr:to>
          <xdr:col>11</xdr:col>
          <xdr:colOff>2352675</xdr:colOff>
          <xdr:row>298</xdr:row>
          <xdr:rowOff>161925</xdr:rowOff>
        </xdr:to>
        <xdr:sp macro="" textlink="">
          <xdr:nvSpPr>
            <xdr:cNvPr id="2447" name="Group Box 399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1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 ESCOLHA TAMANHO MESA MADEIRA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294</xdr:row>
          <xdr:rowOff>9525</xdr:rowOff>
        </xdr:from>
        <xdr:to>
          <xdr:col>11</xdr:col>
          <xdr:colOff>2066925</xdr:colOff>
          <xdr:row>294</xdr:row>
          <xdr:rowOff>228600</xdr:rowOff>
        </xdr:to>
        <xdr:sp macro="" textlink="">
          <xdr:nvSpPr>
            <xdr:cNvPr id="2448" name="Option Button 400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1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34      -     40 X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294</xdr:row>
          <xdr:rowOff>228600</xdr:rowOff>
        </xdr:from>
        <xdr:to>
          <xdr:col>11</xdr:col>
          <xdr:colOff>1866900</xdr:colOff>
          <xdr:row>296</xdr:row>
          <xdr:rowOff>9525</xdr:rowOff>
        </xdr:to>
        <xdr:sp macro="" textlink="">
          <xdr:nvSpPr>
            <xdr:cNvPr id="2449" name="Option Button 401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1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36-40   -   60 X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296</xdr:row>
          <xdr:rowOff>9525</xdr:rowOff>
        </xdr:from>
        <xdr:to>
          <xdr:col>11</xdr:col>
          <xdr:colOff>2038350</xdr:colOff>
          <xdr:row>296</xdr:row>
          <xdr:rowOff>238125</xdr:rowOff>
        </xdr:to>
        <xdr:sp macro="" textlink="">
          <xdr:nvSpPr>
            <xdr:cNvPr id="2450" name="Option Button 402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1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44-46   -   70 X 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76200</xdr:colOff>
          <xdr:row>282</xdr:row>
          <xdr:rowOff>28575</xdr:rowOff>
        </xdr:from>
        <xdr:to>
          <xdr:col>12</xdr:col>
          <xdr:colOff>9525</xdr:colOff>
          <xdr:row>284</xdr:row>
          <xdr:rowOff>247650</xdr:rowOff>
        </xdr:to>
        <xdr:sp macro="" textlink="">
          <xdr:nvSpPr>
            <xdr:cNvPr id="2451" name="Group Box 403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1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ESCOLHA O TIPO DE MESA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657225</xdr:colOff>
          <xdr:row>283</xdr:row>
          <xdr:rowOff>209550</xdr:rowOff>
        </xdr:from>
        <xdr:to>
          <xdr:col>9</xdr:col>
          <xdr:colOff>2190750</xdr:colOff>
          <xdr:row>284</xdr:row>
          <xdr:rowOff>123825</xdr:rowOff>
        </xdr:to>
        <xdr:sp macro="" textlink="">
          <xdr:nvSpPr>
            <xdr:cNvPr id="2452" name="Option Button 404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1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MESA PLASTICA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283</xdr:row>
          <xdr:rowOff>114300</xdr:rowOff>
        </xdr:from>
        <xdr:to>
          <xdr:col>11</xdr:col>
          <xdr:colOff>2114550</xdr:colOff>
          <xdr:row>284</xdr:row>
          <xdr:rowOff>28575</xdr:rowOff>
        </xdr:to>
        <xdr:sp macro="" textlink="">
          <xdr:nvSpPr>
            <xdr:cNvPr id="2453" name="Option Button 405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1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MESA DE MADEIRA COM BORDA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283</xdr:row>
          <xdr:rowOff>295275</xdr:rowOff>
        </xdr:from>
        <xdr:to>
          <xdr:col>11</xdr:col>
          <xdr:colOff>2190750</xdr:colOff>
          <xdr:row>284</xdr:row>
          <xdr:rowOff>209550</xdr:rowOff>
        </xdr:to>
        <xdr:sp macro="" textlink="">
          <xdr:nvSpPr>
            <xdr:cNvPr id="2454" name="Option Button 406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1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MESA DE MADEIRA SEM BORDA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297</xdr:row>
          <xdr:rowOff>28575</xdr:rowOff>
        </xdr:from>
        <xdr:to>
          <xdr:col>11</xdr:col>
          <xdr:colOff>1619250</xdr:colOff>
          <xdr:row>298</xdr:row>
          <xdr:rowOff>57150</xdr:rowOff>
        </xdr:to>
        <xdr:sp macro="" textlink="">
          <xdr:nvSpPr>
            <xdr:cNvPr id="2455" name="Option Button 407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1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294</xdr:row>
          <xdr:rowOff>38100</xdr:rowOff>
        </xdr:from>
        <xdr:to>
          <xdr:col>9</xdr:col>
          <xdr:colOff>1895475</xdr:colOff>
          <xdr:row>295</xdr:row>
          <xdr:rowOff>0</xdr:rowOff>
        </xdr:to>
        <xdr:sp macro="" textlink="">
          <xdr:nvSpPr>
            <xdr:cNvPr id="2456" name="Option Button 408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1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34     -      40 X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295</xdr:row>
          <xdr:rowOff>9525</xdr:rowOff>
        </xdr:from>
        <xdr:to>
          <xdr:col>9</xdr:col>
          <xdr:colOff>1819275</xdr:colOff>
          <xdr:row>296</xdr:row>
          <xdr:rowOff>57150</xdr:rowOff>
        </xdr:to>
        <xdr:sp macro="" textlink="">
          <xdr:nvSpPr>
            <xdr:cNvPr id="2457" name="Option Button 409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1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36-40   -   60 X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296</xdr:row>
          <xdr:rowOff>57150</xdr:rowOff>
        </xdr:from>
        <xdr:to>
          <xdr:col>9</xdr:col>
          <xdr:colOff>1895475</xdr:colOff>
          <xdr:row>296</xdr:row>
          <xdr:rowOff>276225</xdr:rowOff>
        </xdr:to>
        <xdr:sp macro="" textlink="">
          <xdr:nvSpPr>
            <xdr:cNvPr id="2458" name="Option Button 410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1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44-46   -   70 X 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297</xdr:row>
          <xdr:rowOff>57150</xdr:rowOff>
        </xdr:from>
        <xdr:to>
          <xdr:col>9</xdr:col>
          <xdr:colOff>1333500</xdr:colOff>
          <xdr:row>298</xdr:row>
          <xdr:rowOff>85725</xdr:rowOff>
        </xdr:to>
        <xdr:sp macro="" textlink="">
          <xdr:nvSpPr>
            <xdr:cNvPr id="2459" name="Option Button 411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1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oneCellAnchor>
    <xdr:from>
      <xdr:col>9</xdr:col>
      <xdr:colOff>95250</xdr:colOff>
      <xdr:row>285</xdr:row>
      <xdr:rowOff>66676</xdr:rowOff>
    </xdr:from>
    <xdr:ext cx="2188001" cy="1847850"/>
    <xdr:pic>
      <xdr:nvPicPr>
        <xdr:cNvPr id="331" name="Imagem 330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8260676"/>
          <a:ext cx="2188001" cy="1847850"/>
        </a:xfrm>
        <a:prstGeom prst="rect">
          <a:avLst/>
        </a:prstGeom>
      </xdr:spPr>
    </xdr:pic>
    <xdr:clientData/>
  </xdr:oneCellAnchor>
  <xdr:oneCellAnchor>
    <xdr:from>
      <xdr:col>11</xdr:col>
      <xdr:colOff>76200</xdr:colOff>
      <xdr:row>285</xdr:row>
      <xdr:rowOff>66675</xdr:rowOff>
    </xdr:from>
    <xdr:ext cx="2247900" cy="1924050"/>
    <xdr:pic>
      <xdr:nvPicPr>
        <xdr:cNvPr id="332" name="Imagem 331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28260675"/>
          <a:ext cx="2247900" cy="192405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1971675</xdr:colOff>
          <xdr:row>282</xdr:row>
          <xdr:rowOff>104775</xdr:rowOff>
        </xdr:from>
        <xdr:to>
          <xdr:col>11</xdr:col>
          <xdr:colOff>790575</xdr:colOff>
          <xdr:row>283</xdr:row>
          <xdr:rowOff>133350</xdr:rowOff>
        </xdr:to>
        <xdr:sp macro="" textlink="">
          <xdr:nvSpPr>
            <xdr:cNvPr id="2460" name="Option Button 412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1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SEM MESA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114300</xdr:colOff>
          <xdr:row>317</xdr:row>
          <xdr:rowOff>104775</xdr:rowOff>
        </xdr:from>
        <xdr:to>
          <xdr:col>14</xdr:col>
          <xdr:colOff>57150</xdr:colOff>
          <xdr:row>323</xdr:row>
          <xdr:rowOff>438150</xdr:rowOff>
        </xdr:to>
        <xdr:sp macro="" textlink="">
          <xdr:nvSpPr>
            <xdr:cNvPr id="2461" name="Group Box 413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1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LOCAIS DE REFORÇO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200025</xdr:colOff>
          <xdr:row>307</xdr:row>
          <xdr:rowOff>228600</xdr:rowOff>
        </xdr:from>
        <xdr:to>
          <xdr:col>13</xdr:col>
          <xdr:colOff>2324100</xdr:colOff>
          <xdr:row>308</xdr:row>
          <xdr:rowOff>161925</xdr:rowOff>
        </xdr:to>
        <xdr:sp macro="" textlink="">
          <xdr:nvSpPr>
            <xdr:cNvPr id="2462" name="Check Box 414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1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REFORÇO CADEIRA - PACIENTES FORTES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295275</xdr:colOff>
          <xdr:row>307</xdr:row>
          <xdr:rowOff>228600</xdr:rowOff>
        </xdr:from>
        <xdr:to>
          <xdr:col>16</xdr:col>
          <xdr:colOff>990600</xdr:colOff>
          <xdr:row>308</xdr:row>
          <xdr:rowOff>142875</xdr:rowOff>
        </xdr:to>
        <xdr:sp macro="" textlink="">
          <xdr:nvSpPr>
            <xdr:cNvPr id="2463" name="Check Box 415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1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ALMOFADA DORSAL/ LOMBAR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647700</xdr:colOff>
          <xdr:row>307</xdr:row>
          <xdr:rowOff>266700</xdr:rowOff>
        </xdr:from>
        <xdr:to>
          <xdr:col>35</xdr:col>
          <xdr:colOff>1228725</xdr:colOff>
          <xdr:row>308</xdr:row>
          <xdr:rowOff>180975</xdr:rowOff>
        </xdr:to>
        <xdr:sp macro="" textlink="">
          <xdr:nvSpPr>
            <xdr:cNvPr id="2464" name="Check Box 416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1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CAPA ADICIONAL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</xdr:colOff>
          <xdr:row>317</xdr:row>
          <xdr:rowOff>133350</xdr:rowOff>
        </xdr:from>
        <xdr:to>
          <xdr:col>35</xdr:col>
          <xdr:colOff>1228725</xdr:colOff>
          <xdr:row>321</xdr:row>
          <xdr:rowOff>28575</xdr:rowOff>
        </xdr:to>
        <xdr:sp macro="" textlink="">
          <xdr:nvSpPr>
            <xdr:cNvPr id="2465" name="Group Box 417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1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ITEM QUE RECEBERÁ CAPA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295275</xdr:colOff>
          <xdr:row>307</xdr:row>
          <xdr:rowOff>209550</xdr:rowOff>
        </xdr:from>
        <xdr:to>
          <xdr:col>9</xdr:col>
          <xdr:colOff>2352675</xdr:colOff>
          <xdr:row>308</xdr:row>
          <xdr:rowOff>123825</xdr:rowOff>
        </xdr:to>
        <xdr:sp macro="" textlink="">
          <xdr:nvSpPr>
            <xdr:cNvPr id="2469" name="Check Box 421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1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DISPOSITIVO ANTI QUEDA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307</xdr:row>
          <xdr:rowOff>200025</xdr:rowOff>
        </xdr:from>
        <xdr:to>
          <xdr:col>11</xdr:col>
          <xdr:colOff>2152650</xdr:colOff>
          <xdr:row>308</xdr:row>
          <xdr:rowOff>114300</xdr:rowOff>
        </xdr:to>
        <xdr:sp macro="" textlink="">
          <xdr:nvSpPr>
            <xdr:cNvPr id="2470" name="Check Box 422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1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PROTETOR  PLUS  "+"  -  (SORVETE)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561975</xdr:colOff>
          <xdr:row>307</xdr:row>
          <xdr:rowOff>238125</xdr:rowOff>
        </xdr:from>
        <xdr:to>
          <xdr:col>20</xdr:col>
          <xdr:colOff>790575</xdr:colOff>
          <xdr:row>308</xdr:row>
          <xdr:rowOff>152400</xdr:rowOff>
        </xdr:to>
        <xdr:sp macro="" textlink="">
          <xdr:nvSpPr>
            <xdr:cNvPr id="2471" name="Check Box 423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1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FECHO HUZI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317</xdr:row>
          <xdr:rowOff>114300</xdr:rowOff>
        </xdr:from>
        <xdr:to>
          <xdr:col>11</xdr:col>
          <xdr:colOff>2133600</xdr:colOff>
          <xdr:row>322</xdr:row>
          <xdr:rowOff>28575</xdr:rowOff>
        </xdr:to>
        <xdr:sp macro="" textlink="">
          <xdr:nvSpPr>
            <xdr:cNvPr id="2472" name="Group Box 424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1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TIPO DE PROTETOR PLUS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317</xdr:row>
          <xdr:rowOff>257175</xdr:rowOff>
        </xdr:from>
        <xdr:to>
          <xdr:col>13</xdr:col>
          <xdr:colOff>1819275</xdr:colOff>
          <xdr:row>318</xdr:row>
          <xdr:rowOff>209550</xdr:rowOff>
        </xdr:to>
        <xdr:sp macro="" textlink="">
          <xdr:nvSpPr>
            <xdr:cNvPr id="2473" name="Check Box 425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1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Ferragem APOIO CABEÇA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319</xdr:row>
          <xdr:rowOff>19050</xdr:rowOff>
        </xdr:from>
        <xdr:to>
          <xdr:col>13</xdr:col>
          <xdr:colOff>1847850</xdr:colOff>
          <xdr:row>320</xdr:row>
          <xdr:rowOff>47625</xdr:rowOff>
        </xdr:to>
        <xdr:sp macro="" textlink="">
          <xdr:nvSpPr>
            <xdr:cNvPr id="2474" name="Check Box 426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1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Bengala do encosto (PENTE BOLHA)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320</xdr:row>
          <xdr:rowOff>85725</xdr:rowOff>
        </xdr:from>
        <xdr:to>
          <xdr:col>13</xdr:col>
          <xdr:colOff>1905000</xdr:colOff>
          <xdr:row>321</xdr:row>
          <xdr:rowOff>114300</xdr:rowOff>
        </xdr:to>
        <xdr:sp macro="" textlink="">
          <xdr:nvSpPr>
            <xdr:cNvPr id="2475" name="Check Box 427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1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Ferragem ASSENTO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321</xdr:row>
          <xdr:rowOff>152400</xdr:rowOff>
        </xdr:from>
        <xdr:to>
          <xdr:col>13</xdr:col>
          <xdr:colOff>1838325</xdr:colOff>
          <xdr:row>322</xdr:row>
          <xdr:rowOff>180975</xdr:rowOff>
        </xdr:to>
        <xdr:sp macro="" textlink="">
          <xdr:nvSpPr>
            <xdr:cNvPr id="2476" name="Check Box 428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1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Ferragem APOIO DOS PÉS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161925</xdr:colOff>
          <xdr:row>323</xdr:row>
          <xdr:rowOff>28575</xdr:rowOff>
        </xdr:from>
        <xdr:to>
          <xdr:col>13</xdr:col>
          <xdr:colOff>1819275</xdr:colOff>
          <xdr:row>323</xdr:row>
          <xdr:rowOff>257175</xdr:rowOff>
        </xdr:to>
        <xdr:sp macro="" textlink="">
          <xdr:nvSpPr>
            <xdr:cNvPr id="2477" name="Check Box 429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1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Ferragem APOIO DOS BRAÇOS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317</xdr:row>
          <xdr:rowOff>228600</xdr:rowOff>
        </xdr:from>
        <xdr:to>
          <xdr:col>11</xdr:col>
          <xdr:colOff>1419225</xdr:colOff>
          <xdr:row>318</xdr:row>
          <xdr:rowOff>180975</xdr:rowOff>
        </xdr:to>
        <xdr:sp macro="" textlink="">
          <xdr:nvSpPr>
            <xdr:cNvPr id="2478" name="Option Button 430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1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PÉLVICO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318</xdr:row>
          <xdr:rowOff>123825</xdr:rowOff>
        </xdr:from>
        <xdr:to>
          <xdr:col>11</xdr:col>
          <xdr:colOff>1057275</xdr:colOff>
          <xdr:row>319</xdr:row>
          <xdr:rowOff>95250</xdr:rowOff>
        </xdr:to>
        <xdr:sp macro="" textlink="">
          <xdr:nvSpPr>
            <xdr:cNvPr id="2479" name="Option Button 431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1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ESCAPULAR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319</xdr:row>
          <xdr:rowOff>57150</xdr:rowOff>
        </xdr:from>
        <xdr:to>
          <xdr:col>11</xdr:col>
          <xdr:colOff>1733550</xdr:colOff>
          <xdr:row>320</xdr:row>
          <xdr:rowOff>76200</xdr:rowOff>
        </xdr:to>
        <xdr:sp macro="" textlink="">
          <xdr:nvSpPr>
            <xdr:cNvPr id="2480" name="Option Button 432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1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PÉLVICO+ESCAPULAR</a:t>
              </a:r>
            </a:p>
          </xdr:txBody>
        </xdr:sp>
        <xdr:clientData/>
      </xdr:twoCellAnchor>
    </mc:Choice>
    <mc:Fallback/>
  </mc:AlternateContent>
  <xdr:twoCellAnchor>
    <xdr:from>
      <xdr:col>9</xdr:col>
      <xdr:colOff>191562</xdr:colOff>
      <xdr:row>312</xdr:row>
      <xdr:rowOff>294058</xdr:rowOff>
    </xdr:from>
    <xdr:to>
      <xdr:col>9</xdr:col>
      <xdr:colOff>894934</xdr:colOff>
      <xdr:row>314</xdr:row>
      <xdr:rowOff>134055</xdr:rowOff>
    </xdr:to>
    <xdr:sp macro="" textlink="">
      <xdr:nvSpPr>
        <xdr:cNvPr id="360" name="Seta: para a Direita 359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/>
      </xdr:nvSpPr>
      <xdr:spPr>
        <a:xfrm rot="1803932">
          <a:off x="601137" y="33526783"/>
          <a:ext cx="703372" cy="32577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322</xdr:row>
          <xdr:rowOff>114300</xdr:rowOff>
        </xdr:from>
        <xdr:to>
          <xdr:col>11</xdr:col>
          <xdr:colOff>2133600</xdr:colOff>
          <xdr:row>325</xdr:row>
          <xdr:rowOff>0</xdr:rowOff>
        </xdr:to>
        <xdr:sp macro="" textlink="">
          <xdr:nvSpPr>
            <xdr:cNvPr id="2481" name="Group Box 433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1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PROTETOR PLUS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466725</xdr:colOff>
          <xdr:row>322</xdr:row>
          <xdr:rowOff>190500</xdr:rowOff>
        </xdr:from>
        <xdr:to>
          <xdr:col>11</xdr:col>
          <xdr:colOff>1704975</xdr:colOff>
          <xdr:row>323</xdr:row>
          <xdr:rowOff>209550</xdr:rowOff>
        </xdr:to>
        <xdr:sp macro="" textlink="">
          <xdr:nvSpPr>
            <xdr:cNvPr id="2482" name="Option Button 434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1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323</xdr:row>
          <xdr:rowOff>171450</xdr:rowOff>
        </xdr:from>
        <xdr:to>
          <xdr:col>11</xdr:col>
          <xdr:colOff>1466850</xdr:colOff>
          <xdr:row>323</xdr:row>
          <xdr:rowOff>390525</xdr:rowOff>
        </xdr:to>
        <xdr:sp macro="" textlink="">
          <xdr:nvSpPr>
            <xdr:cNvPr id="2483" name="Option Button 435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1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323</xdr:row>
          <xdr:rowOff>352425</xdr:rowOff>
        </xdr:from>
        <xdr:to>
          <xdr:col>11</xdr:col>
          <xdr:colOff>1295400</xdr:colOff>
          <xdr:row>324</xdr:row>
          <xdr:rowOff>123825</xdr:rowOff>
        </xdr:to>
        <xdr:sp macro="" textlink="">
          <xdr:nvSpPr>
            <xdr:cNvPr id="2484" name="Option Button 436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1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0</xdr:colOff>
          <xdr:row>323</xdr:row>
          <xdr:rowOff>38100</xdr:rowOff>
        </xdr:from>
        <xdr:to>
          <xdr:col>35</xdr:col>
          <xdr:colOff>1190625</xdr:colOff>
          <xdr:row>325</xdr:row>
          <xdr:rowOff>247650</xdr:rowOff>
        </xdr:to>
        <xdr:sp macro="" textlink="">
          <xdr:nvSpPr>
            <xdr:cNvPr id="2485" name="Group Box 437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1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COMO DEVE SER A CAPA ADICIONAL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</xdr:colOff>
          <xdr:row>323</xdr:row>
          <xdr:rowOff>190500</xdr:rowOff>
        </xdr:from>
        <xdr:to>
          <xdr:col>35</xdr:col>
          <xdr:colOff>695325</xdr:colOff>
          <xdr:row>323</xdr:row>
          <xdr:rowOff>409575</xdr:rowOff>
        </xdr:to>
        <xdr:sp macro="" textlink="">
          <xdr:nvSpPr>
            <xdr:cNvPr id="2486" name="Option Button 438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1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CURVIM SEM ROUPA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</xdr:colOff>
          <xdr:row>323</xdr:row>
          <xdr:rowOff>381000</xdr:rowOff>
        </xdr:from>
        <xdr:to>
          <xdr:col>35</xdr:col>
          <xdr:colOff>847725</xdr:colOff>
          <xdr:row>324</xdr:row>
          <xdr:rowOff>171450</xdr:rowOff>
        </xdr:to>
        <xdr:sp macro="" textlink="">
          <xdr:nvSpPr>
            <xdr:cNvPr id="2487" name="Option Button 439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1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CURVIM  +  TECIDO EXTERNO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238125</xdr:colOff>
          <xdr:row>305</xdr:row>
          <xdr:rowOff>276225</xdr:rowOff>
        </xdr:from>
        <xdr:to>
          <xdr:col>33</xdr:col>
          <xdr:colOff>95250</xdr:colOff>
          <xdr:row>308</xdr:row>
          <xdr:rowOff>161925</xdr:rowOff>
        </xdr:to>
        <xdr:sp macro="" textlink="">
          <xdr:nvSpPr>
            <xdr:cNvPr id="2488" name="Group Box 440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1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ESCOLHA O TIPO DE ABDUTOR A SER EMPREGADO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123825</xdr:colOff>
          <xdr:row>307</xdr:row>
          <xdr:rowOff>209550</xdr:rowOff>
        </xdr:from>
        <xdr:to>
          <xdr:col>29</xdr:col>
          <xdr:colOff>123825</xdr:colOff>
          <xdr:row>308</xdr:row>
          <xdr:rowOff>123825</xdr:rowOff>
        </xdr:to>
        <xdr:sp macro="" textlink="">
          <xdr:nvSpPr>
            <xdr:cNvPr id="2489" name="Option Button 441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1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ABDUTOR TRIANGULAR EM  E.V.A.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85725</xdr:colOff>
          <xdr:row>307</xdr:row>
          <xdr:rowOff>190500</xdr:rowOff>
        </xdr:from>
        <xdr:to>
          <xdr:col>32</xdr:col>
          <xdr:colOff>933450</xdr:colOff>
          <xdr:row>308</xdr:row>
          <xdr:rowOff>104775</xdr:rowOff>
        </xdr:to>
        <xdr:sp macro="" textlink="">
          <xdr:nvSpPr>
            <xdr:cNvPr id="2490" name="Option Button 442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1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ABDUTOR EM ESPUMA + CINTO COM VELCRO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628650</xdr:colOff>
          <xdr:row>306</xdr:row>
          <xdr:rowOff>47625</xdr:rowOff>
        </xdr:from>
        <xdr:to>
          <xdr:col>31</xdr:col>
          <xdr:colOff>238125</xdr:colOff>
          <xdr:row>307</xdr:row>
          <xdr:rowOff>85725</xdr:rowOff>
        </xdr:to>
        <xdr:sp macro="" textlink="">
          <xdr:nvSpPr>
            <xdr:cNvPr id="2491" name="Option Button 443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1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SEM ABDUTOR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320</xdr:row>
          <xdr:rowOff>142875</xdr:rowOff>
        </xdr:from>
        <xdr:to>
          <xdr:col>11</xdr:col>
          <xdr:colOff>1323975</xdr:colOff>
          <xdr:row>321</xdr:row>
          <xdr:rowOff>171450</xdr:rowOff>
        </xdr:to>
        <xdr:sp macro="" textlink="">
          <xdr:nvSpPr>
            <xdr:cNvPr id="2492" name="Option Button 444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1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33</xdr:col>
      <xdr:colOff>266700</xdr:colOff>
      <xdr:row>316</xdr:row>
      <xdr:rowOff>190500</xdr:rowOff>
    </xdr:from>
    <xdr:to>
      <xdr:col>36</xdr:col>
      <xdr:colOff>85725</xdr:colOff>
      <xdr:row>326</xdr:row>
      <xdr:rowOff>171450</xdr:rowOff>
    </xdr:to>
    <xdr:sp macro="" textlink="">
      <xdr:nvSpPr>
        <xdr:cNvPr id="375" name="Retângulo de cantos arredondados 21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/>
      </xdr:nvSpPr>
      <xdr:spPr>
        <a:xfrm>
          <a:off x="21459825" y="75638025"/>
          <a:ext cx="2628900" cy="2524125"/>
        </a:xfrm>
        <a:prstGeom prst="round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9525</xdr:colOff>
          <xdr:row>324</xdr:row>
          <xdr:rowOff>133350</xdr:rowOff>
        </xdr:from>
        <xdr:to>
          <xdr:col>35</xdr:col>
          <xdr:colOff>114300</xdr:colOff>
          <xdr:row>325</xdr:row>
          <xdr:rowOff>161925</xdr:rowOff>
        </xdr:to>
        <xdr:sp macro="" textlink="">
          <xdr:nvSpPr>
            <xdr:cNvPr id="2493" name="Option Button 445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1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>
    <xdr:from>
      <xdr:col>34</xdr:col>
      <xdr:colOff>722841</xdr:colOff>
      <xdr:row>67</xdr:row>
      <xdr:rowOff>183668</xdr:rowOff>
    </xdr:from>
    <xdr:to>
      <xdr:col>35</xdr:col>
      <xdr:colOff>24235</xdr:colOff>
      <xdr:row>68</xdr:row>
      <xdr:rowOff>144734</xdr:rowOff>
    </xdr:to>
    <xdr:sp macro="" textlink="">
      <xdr:nvSpPr>
        <xdr:cNvPr id="378" name="Seta: para a Direita 220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/>
      </xdr:nvSpPr>
      <xdr:spPr>
        <a:xfrm rot="8517120">
          <a:off x="22382691" y="15642743"/>
          <a:ext cx="501544" cy="256341"/>
        </a:xfrm>
        <a:prstGeom prst="rightArrow">
          <a:avLst/>
        </a:prstGeom>
        <a:solidFill>
          <a:srgbClr val="FFFF00"/>
        </a:solidFill>
        <a:ln w="28575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35</xdr:col>
      <xdr:colOff>52040</xdr:colOff>
      <xdr:row>69</xdr:row>
      <xdr:rowOff>23344</xdr:rowOff>
    </xdr:from>
    <xdr:to>
      <xdr:col>35</xdr:col>
      <xdr:colOff>491988</xdr:colOff>
      <xdr:row>70</xdr:row>
      <xdr:rowOff>108235</xdr:rowOff>
    </xdr:to>
    <xdr:sp macro="" textlink="">
      <xdr:nvSpPr>
        <xdr:cNvPr id="379" name="Seta: para a Direita 220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/>
      </xdr:nvSpPr>
      <xdr:spPr>
        <a:xfrm rot="8517120">
          <a:off x="22912040" y="16072969"/>
          <a:ext cx="439948" cy="275391"/>
        </a:xfrm>
        <a:prstGeom prst="rightArrow">
          <a:avLst/>
        </a:prstGeom>
        <a:solidFill>
          <a:srgbClr val="FFFF00"/>
        </a:solidFill>
        <a:ln w="28575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788292</xdr:colOff>
      <xdr:row>69</xdr:row>
      <xdr:rowOff>165838</xdr:rowOff>
    </xdr:from>
    <xdr:to>
      <xdr:col>31</xdr:col>
      <xdr:colOff>1149408</xdr:colOff>
      <xdr:row>71</xdr:row>
      <xdr:rowOff>238757</xdr:rowOff>
    </xdr:to>
    <xdr:sp macro="" textlink="">
      <xdr:nvSpPr>
        <xdr:cNvPr id="380" name="Seta: para a Direita 220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/>
      </xdr:nvSpPr>
      <xdr:spPr>
        <a:xfrm rot="3873167">
          <a:off x="19782365" y="16261865"/>
          <a:ext cx="453919" cy="361116"/>
        </a:xfrm>
        <a:prstGeom prst="rightArrow">
          <a:avLst/>
        </a:prstGeom>
        <a:solidFill>
          <a:srgbClr val="FFFF00"/>
        </a:solidFill>
        <a:ln w="28575"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32</xdr:col>
      <xdr:colOff>75707</xdr:colOff>
      <xdr:row>263</xdr:row>
      <xdr:rowOff>162418</xdr:rowOff>
    </xdr:from>
    <xdr:to>
      <xdr:col>32</xdr:col>
      <xdr:colOff>658451</xdr:colOff>
      <xdr:row>265</xdr:row>
      <xdr:rowOff>39327</xdr:rowOff>
    </xdr:to>
    <xdr:sp macro="" textlink="">
      <xdr:nvSpPr>
        <xdr:cNvPr id="382" name="Seta: para a Direita 381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/>
      </xdr:nvSpPr>
      <xdr:spPr>
        <a:xfrm rot="8494821">
          <a:off x="20411582" y="67285093"/>
          <a:ext cx="582744" cy="467459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133350</xdr:colOff>
          <xdr:row>261</xdr:row>
          <xdr:rowOff>190500</xdr:rowOff>
        </xdr:from>
        <xdr:to>
          <xdr:col>23</xdr:col>
          <xdr:colOff>1009650</xdr:colOff>
          <xdr:row>261</xdr:row>
          <xdr:rowOff>409575</xdr:rowOff>
        </xdr:to>
        <xdr:sp macro="" textlink="">
          <xdr:nvSpPr>
            <xdr:cNvPr id="2494" name="Option Button 446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1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CINTO PÉLVICO EM "T"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1009650</xdr:colOff>
          <xdr:row>255</xdr:row>
          <xdr:rowOff>295275</xdr:rowOff>
        </xdr:from>
        <xdr:to>
          <xdr:col>23</xdr:col>
          <xdr:colOff>1057275</xdr:colOff>
          <xdr:row>256</xdr:row>
          <xdr:rowOff>66675</xdr:rowOff>
        </xdr:to>
        <xdr:sp macro="" textlink="">
          <xdr:nvSpPr>
            <xdr:cNvPr id="2495" name="Option Button 447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1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400050</xdr:colOff>
          <xdr:row>307</xdr:row>
          <xdr:rowOff>219075</xdr:rowOff>
        </xdr:from>
        <xdr:to>
          <xdr:col>23</xdr:col>
          <xdr:colOff>1123950</xdr:colOff>
          <xdr:row>308</xdr:row>
          <xdr:rowOff>152400</xdr:rowOff>
        </xdr:to>
        <xdr:sp macro="" textlink="">
          <xdr:nvSpPr>
            <xdr:cNvPr id="2496" name="Check Box 448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1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FAIXA ACETINADA PARA CINTOS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142875</xdr:colOff>
      <xdr:row>80</xdr:row>
      <xdr:rowOff>85725</xdr:rowOff>
    </xdr:from>
    <xdr:to>
      <xdr:col>9</xdr:col>
      <xdr:colOff>2257425</xdr:colOff>
      <xdr:row>86</xdr:row>
      <xdr:rowOff>123825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3477875"/>
          <a:ext cx="2114550" cy="180975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80</xdr:row>
      <xdr:rowOff>95250</xdr:rowOff>
    </xdr:from>
    <xdr:to>
      <xdr:col>11</xdr:col>
      <xdr:colOff>2238375</xdr:colOff>
      <xdr:row>86</xdr:row>
      <xdr:rowOff>171450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3487400"/>
          <a:ext cx="2162175" cy="184785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80</xdr:row>
      <xdr:rowOff>47625</xdr:rowOff>
    </xdr:from>
    <xdr:to>
      <xdr:col>16</xdr:col>
      <xdr:colOff>1009650</xdr:colOff>
      <xdr:row>86</xdr:row>
      <xdr:rowOff>180975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0" y="13439775"/>
          <a:ext cx="2038350" cy="1905000"/>
        </a:xfrm>
        <a:prstGeom prst="rect">
          <a:avLst/>
        </a:prstGeom>
      </xdr:spPr>
    </xdr:pic>
    <xdr:clientData/>
  </xdr:twoCellAnchor>
  <xdr:twoCellAnchor editAs="oneCell">
    <xdr:from>
      <xdr:col>29</xdr:col>
      <xdr:colOff>228600</xdr:colOff>
      <xdr:row>82</xdr:row>
      <xdr:rowOff>38100</xdr:rowOff>
    </xdr:from>
    <xdr:to>
      <xdr:col>33</xdr:col>
      <xdr:colOff>247650</xdr:colOff>
      <xdr:row>90</xdr:row>
      <xdr:rowOff>114300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6625" y="14020800"/>
          <a:ext cx="2819400" cy="238125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142875</xdr:colOff>
      <xdr:row>245</xdr:row>
      <xdr:rowOff>123825</xdr:rowOff>
    </xdr:from>
    <xdr:to>
      <xdr:col>13</xdr:col>
      <xdr:colOff>2266950</xdr:colOff>
      <xdr:row>251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2141100"/>
          <a:ext cx="2124075" cy="1924050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245</xdr:row>
      <xdr:rowOff>66675</xdr:rowOff>
    </xdr:from>
    <xdr:to>
      <xdr:col>16</xdr:col>
      <xdr:colOff>981075</xdr:colOff>
      <xdr:row>251</xdr:row>
      <xdr:rowOff>95250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56654700"/>
          <a:ext cx="1962150" cy="1990725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245</xdr:row>
      <xdr:rowOff>47625</xdr:rowOff>
    </xdr:from>
    <xdr:to>
      <xdr:col>20</xdr:col>
      <xdr:colOff>809625</xdr:colOff>
      <xdr:row>251</xdr:row>
      <xdr:rowOff>57150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56635650"/>
          <a:ext cx="2181225" cy="197167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262</xdr:row>
      <xdr:rowOff>57150</xdr:rowOff>
    </xdr:from>
    <xdr:to>
      <xdr:col>16</xdr:col>
      <xdr:colOff>1028700</xdr:colOff>
      <xdr:row>268</xdr:row>
      <xdr:rowOff>66675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61455300"/>
          <a:ext cx="2028825" cy="17811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309</xdr:row>
      <xdr:rowOff>47625</xdr:rowOff>
    </xdr:from>
    <xdr:to>
      <xdr:col>11</xdr:col>
      <xdr:colOff>2333625</xdr:colOff>
      <xdr:row>315</xdr:row>
      <xdr:rowOff>190500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5" y="73418700"/>
          <a:ext cx="2266950" cy="192405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309</xdr:row>
      <xdr:rowOff>66675</xdr:rowOff>
    </xdr:from>
    <xdr:to>
      <xdr:col>13</xdr:col>
      <xdr:colOff>2314575</xdr:colOff>
      <xdr:row>315</xdr:row>
      <xdr:rowOff>180975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5" y="73437750"/>
          <a:ext cx="2238375" cy="1895475"/>
        </a:xfrm>
        <a:prstGeom prst="rect">
          <a:avLst/>
        </a:prstGeom>
      </xdr:spPr>
    </xdr:pic>
    <xdr:clientData/>
  </xdr:twoCellAnchor>
  <xdr:twoCellAnchor editAs="oneCell">
    <xdr:from>
      <xdr:col>15</xdr:col>
      <xdr:colOff>104775</xdr:colOff>
      <xdr:row>309</xdr:row>
      <xdr:rowOff>76200</xdr:rowOff>
    </xdr:from>
    <xdr:to>
      <xdr:col>16</xdr:col>
      <xdr:colOff>1009650</xdr:colOff>
      <xdr:row>315</xdr:row>
      <xdr:rowOff>114300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73447275"/>
          <a:ext cx="1990725" cy="1819275"/>
        </a:xfrm>
        <a:prstGeom prst="rect">
          <a:avLst/>
        </a:prstGeom>
      </xdr:spPr>
    </xdr:pic>
    <xdr:clientData/>
  </xdr:twoCellAnchor>
  <xdr:twoCellAnchor editAs="oneCell">
    <xdr:from>
      <xdr:col>19</xdr:col>
      <xdr:colOff>76200</xdr:colOff>
      <xdr:row>309</xdr:row>
      <xdr:rowOff>57150</xdr:rowOff>
    </xdr:from>
    <xdr:to>
      <xdr:col>20</xdr:col>
      <xdr:colOff>809625</xdr:colOff>
      <xdr:row>315</xdr:row>
      <xdr:rowOff>200025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1350" y="73428225"/>
          <a:ext cx="2200275" cy="1924050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309</xdr:row>
      <xdr:rowOff>76200</xdr:rowOff>
    </xdr:from>
    <xdr:to>
      <xdr:col>28</xdr:col>
      <xdr:colOff>876300</xdr:colOff>
      <xdr:row>315</xdr:row>
      <xdr:rowOff>161925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73447275"/>
          <a:ext cx="2095500" cy="18669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76200</xdr:colOff>
      <xdr:row>309</xdr:row>
      <xdr:rowOff>57150</xdr:rowOff>
    </xdr:from>
    <xdr:to>
      <xdr:col>32</xdr:col>
      <xdr:colOff>876300</xdr:colOff>
      <xdr:row>315</xdr:row>
      <xdr:rowOff>133350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450" y="73428225"/>
          <a:ext cx="2371725" cy="1857375"/>
        </a:xfrm>
        <a:prstGeom prst="rect">
          <a:avLst/>
        </a:prstGeom>
      </xdr:spPr>
    </xdr:pic>
    <xdr:clientData/>
  </xdr:twoCellAnchor>
  <xdr:twoCellAnchor editAs="oneCell">
    <xdr:from>
      <xdr:col>34</xdr:col>
      <xdr:colOff>76200</xdr:colOff>
      <xdr:row>309</xdr:row>
      <xdr:rowOff>76199</xdr:rowOff>
    </xdr:from>
    <xdr:to>
      <xdr:col>35</xdr:col>
      <xdr:colOff>1123950</xdr:colOff>
      <xdr:row>315</xdr:row>
      <xdr:rowOff>171449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36050" y="73447274"/>
          <a:ext cx="2247900" cy="18764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18</xdr:row>
          <xdr:rowOff>104775</xdr:rowOff>
        </xdr:from>
        <xdr:to>
          <xdr:col>15</xdr:col>
          <xdr:colOff>1066800</xdr:colOff>
          <xdr:row>21</xdr:row>
          <xdr:rowOff>180975</xdr:rowOff>
        </xdr:to>
        <xdr:sp macro="" textlink="">
          <xdr:nvSpPr>
            <xdr:cNvPr id="2497" name="Group Box 449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1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MODELO DE CADEIRA ADULTO QUE SE DESEJA  ADQUIRIR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20</xdr:row>
          <xdr:rowOff>9525</xdr:rowOff>
        </xdr:from>
        <xdr:to>
          <xdr:col>9</xdr:col>
          <xdr:colOff>1552575</xdr:colOff>
          <xdr:row>21</xdr:row>
          <xdr:rowOff>76200</xdr:rowOff>
        </xdr:to>
        <xdr:sp macro="" textlink="">
          <xdr:nvSpPr>
            <xdr:cNvPr id="2498" name="Option Button 450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1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CADEIRA  "AX2"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238125</xdr:colOff>
          <xdr:row>20</xdr:row>
          <xdr:rowOff>9525</xdr:rowOff>
        </xdr:from>
        <xdr:to>
          <xdr:col>11</xdr:col>
          <xdr:colOff>1314450</xdr:colOff>
          <xdr:row>21</xdr:row>
          <xdr:rowOff>95250</xdr:rowOff>
        </xdr:to>
        <xdr:sp macro="" textlink="">
          <xdr:nvSpPr>
            <xdr:cNvPr id="2499" name="Option Button 451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1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CADEIRA "AX20"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20</xdr:row>
          <xdr:rowOff>0</xdr:rowOff>
        </xdr:from>
        <xdr:to>
          <xdr:col>13</xdr:col>
          <xdr:colOff>895350</xdr:colOff>
          <xdr:row>21</xdr:row>
          <xdr:rowOff>95250</xdr:rowOff>
        </xdr:to>
        <xdr:sp macro="" textlink="">
          <xdr:nvSpPr>
            <xdr:cNvPr id="2500" name="Option Button 452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1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BIOFORMA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1866900</xdr:colOff>
          <xdr:row>19</xdr:row>
          <xdr:rowOff>180975</xdr:rowOff>
        </xdr:from>
        <xdr:to>
          <xdr:col>15</xdr:col>
          <xdr:colOff>428625</xdr:colOff>
          <xdr:row>21</xdr:row>
          <xdr:rowOff>104775</xdr:rowOff>
        </xdr:to>
        <xdr:sp macro="" textlink="">
          <xdr:nvSpPr>
            <xdr:cNvPr id="2501" name="Option Button 453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1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ERGOENVOLVENTE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1266825</xdr:colOff>
          <xdr:row>18</xdr:row>
          <xdr:rowOff>171450</xdr:rowOff>
        </xdr:from>
        <xdr:to>
          <xdr:col>13</xdr:col>
          <xdr:colOff>209550</xdr:colOff>
          <xdr:row>20</xdr:row>
          <xdr:rowOff>9525</xdr:rowOff>
        </xdr:to>
        <xdr:sp macro="" textlink="">
          <xdr:nvSpPr>
            <xdr:cNvPr id="2502" name="Option Button 454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1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552450</xdr:colOff>
          <xdr:row>18</xdr:row>
          <xdr:rowOff>104775</xdr:rowOff>
        </xdr:from>
        <xdr:to>
          <xdr:col>25</xdr:col>
          <xdr:colOff>76200</xdr:colOff>
          <xdr:row>22</xdr:row>
          <xdr:rowOff>0</xdr:rowOff>
        </xdr:to>
        <xdr:sp macro="" textlink="">
          <xdr:nvSpPr>
            <xdr:cNvPr id="2503" name="Group Box 455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1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MODELO DE CADEIRA INFANTIL QUE SE DESEJA ADQUIRIR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371475</xdr:colOff>
          <xdr:row>12</xdr:row>
          <xdr:rowOff>142875</xdr:rowOff>
        </xdr:from>
        <xdr:to>
          <xdr:col>20</xdr:col>
          <xdr:colOff>466725</xdr:colOff>
          <xdr:row>16</xdr:row>
          <xdr:rowOff>19050</xdr:rowOff>
        </xdr:to>
        <xdr:sp macro="" textlink="">
          <xdr:nvSpPr>
            <xdr:cNvPr id="2504" name="Group Box 456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1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PERFIL DO USUÁRIO DA CADEIRA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1390650</xdr:colOff>
          <xdr:row>14</xdr:row>
          <xdr:rowOff>95250</xdr:rowOff>
        </xdr:from>
        <xdr:to>
          <xdr:col>15</xdr:col>
          <xdr:colOff>276225</xdr:colOff>
          <xdr:row>15</xdr:row>
          <xdr:rowOff>123825</xdr:rowOff>
        </xdr:to>
        <xdr:sp macro="" textlink="">
          <xdr:nvSpPr>
            <xdr:cNvPr id="2505" name="Option Button 457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1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CADEIRA DE ADULTO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914400</xdr:colOff>
          <xdr:row>14</xdr:row>
          <xdr:rowOff>85725</xdr:rowOff>
        </xdr:from>
        <xdr:to>
          <xdr:col>19</xdr:col>
          <xdr:colOff>1028700</xdr:colOff>
          <xdr:row>15</xdr:row>
          <xdr:rowOff>123825</xdr:rowOff>
        </xdr:to>
        <xdr:sp macro="" textlink="">
          <xdr:nvSpPr>
            <xdr:cNvPr id="2506" name="Option Button 458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1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CADEIRA INFANTIL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476250</xdr:colOff>
          <xdr:row>13</xdr:row>
          <xdr:rowOff>47625</xdr:rowOff>
        </xdr:from>
        <xdr:to>
          <xdr:col>17</xdr:col>
          <xdr:colOff>57150</xdr:colOff>
          <xdr:row>14</xdr:row>
          <xdr:rowOff>76200</xdr:rowOff>
        </xdr:to>
        <xdr:sp macro="" textlink="">
          <xdr:nvSpPr>
            <xdr:cNvPr id="2507" name="Option Button 459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1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838200</xdr:colOff>
          <xdr:row>20</xdr:row>
          <xdr:rowOff>76200</xdr:rowOff>
        </xdr:from>
        <xdr:to>
          <xdr:col>19</xdr:col>
          <xdr:colOff>219075</xdr:colOff>
          <xdr:row>21</xdr:row>
          <xdr:rowOff>104775</xdr:rowOff>
        </xdr:to>
        <xdr:sp macro="" textlink="">
          <xdr:nvSpPr>
            <xdr:cNvPr id="2508" name="Option Button 460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1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MOBI KIDS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828675</xdr:colOff>
          <xdr:row>20</xdr:row>
          <xdr:rowOff>47625</xdr:rowOff>
        </xdr:from>
        <xdr:to>
          <xdr:col>20</xdr:col>
          <xdr:colOff>304800</xdr:colOff>
          <xdr:row>21</xdr:row>
          <xdr:rowOff>133350</xdr:rowOff>
        </xdr:to>
        <xdr:sp macro="" textlink="">
          <xdr:nvSpPr>
            <xdr:cNvPr id="2509" name="Option Button 461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1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BUGGY KIDS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28575</xdr:colOff>
          <xdr:row>20</xdr:row>
          <xdr:rowOff>66675</xdr:rowOff>
        </xdr:from>
        <xdr:to>
          <xdr:col>22</xdr:col>
          <xdr:colOff>742950</xdr:colOff>
          <xdr:row>21</xdr:row>
          <xdr:rowOff>123825</xdr:rowOff>
        </xdr:to>
        <xdr:sp macro="" textlink="">
          <xdr:nvSpPr>
            <xdr:cNvPr id="2510" name="Option Button 462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1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MOBI BABY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95250</xdr:colOff>
          <xdr:row>20</xdr:row>
          <xdr:rowOff>47625</xdr:rowOff>
        </xdr:from>
        <xdr:to>
          <xdr:col>23</xdr:col>
          <xdr:colOff>1104900</xdr:colOff>
          <xdr:row>21</xdr:row>
          <xdr:rowOff>123825</xdr:rowOff>
        </xdr:to>
        <xdr:sp macro="" textlink="">
          <xdr:nvSpPr>
            <xdr:cNvPr id="2511" name="Option Button 463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1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TRIFLEX BABY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47625</xdr:colOff>
          <xdr:row>19</xdr:row>
          <xdr:rowOff>47625</xdr:rowOff>
        </xdr:from>
        <xdr:to>
          <xdr:col>22</xdr:col>
          <xdr:colOff>152400</xdr:colOff>
          <xdr:row>20</xdr:row>
          <xdr:rowOff>76200</xdr:rowOff>
        </xdr:to>
        <xdr:sp macro="" textlink="">
          <xdr:nvSpPr>
            <xdr:cNvPr id="2512" name="Option Button 464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1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257175</xdr:colOff>
          <xdr:row>221</xdr:row>
          <xdr:rowOff>123825</xdr:rowOff>
        </xdr:from>
        <xdr:to>
          <xdr:col>13</xdr:col>
          <xdr:colOff>2057400</xdr:colOff>
          <xdr:row>222</xdr:row>
          <xdr:rowOff>152400</xdr:rowOff>
        </xdr:to>
        <xdr:sp macro="" textlink="">
          <xdr:nvSpPr>
            <xdr:cNvPr id="2515" name="Option Button 467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1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232</xdr:row>
          <xdr:rowOff>142875</xdr:rowOff>
        </xdr:from>
        <xdr:to>
          <xdr:col>20</xdr:col>
          <xdr:colOff>866775</xdr:colOff>
          <xdr:row>236</xdr:row>
          <xdr:rowOff>85725</xdr:rowOff>
        </xdr:to>
        <xdr:sp macro="" textlink="">
          <xdr:nvSpPr>
            <xdr:cNvPr id="2516" name="Group Box 468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1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CURVO COM ORELHAS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233</xdr:row>
          <xdr:rowOff>19050</xdr:rowOff>
        </xdr:from>
        <xdr:to>
          <xdr:col>20</xdr:col>
          <xdr:colOff>504825</xdr:colOff>
          <xdr:row>233</xdr:row>
          <xdr:rowOff>238125</xdr:rowOff>
        </xdr:to>
        <xdr:sp macro="" textlink="">
          <xdr:nvSpPr>
            <xdr:cNvPr id="2517" name="Option Button 469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1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 - CADEIRAS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233</xdr:row>
          <xdr:rowOff>219075</xdr:rowOff>
        </xdr:from>
        <xdr:to>
          <xdr:col>20</xdr:col>
          <xdr:colOff>161925</xdr:colOff>
          <xdr:row>235</xdr:row>
          <xdr:rowOff>0</xdr:rowOff>
        </xdr:to>
        <xdr:sp macro="" textlink="">
          <xdr:nvSpPr>
            <xdr:cNvPr id="2518" name="Option Button 470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1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 - CADEIRAS 36-40-44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990600</xdr:colOff>
          <xdr:row>234</xdr:row>
          <xdr:rowOff>171450</xdr:rowOff>
        </xdr:from>
        <xdr:to>
          <xdr:col>20</xdr:col>
          <xdr:colOff>419100</xdr:colOff>
          <xdr:row>236</xdr:row>
          <xdr:rowOff>9525</xdr:rowOff>
        </xdr:to>
        <xdr:sp macro="" textlink="">
          <xdr:nvSpPr>
            <xdr:cNvPr id="2519" name="Option Button 471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1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 editAs="oneCell">
    <xdr:from>
      <xdr:col>22</xdr:col>
      <xdr:colOff>83658</xdr:colOff>
      <xdr:row>309</xdr:row>
      <xdr:rowOff>66675</xdr:rowOff>
    </xdr:from>
    <xdr:to>
      <xdr:col>23</xdr:col>
      <xdr:colOff>1171575</xdr:colOff>
      <xdr:row>315</xdr:row>
      <xdr:rowOff>209550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1508" y="78867000"/>
          <a:ext cx="2411892" cy="19240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895350</xdr:colOff>
          <xdr:row>318</xdr:row>
          <xdr:rowOff>28575</xdr:rowOff>
        </xdr:from>
        <xdr:to>
          <xdr:col>35</xdr:col>
          <xdr:colOff>1171575</xdr:colOff>
          <xdr:row>319</xdr:row>
          <xdr:rowOff>0</xdr:rowOff>
        </xdr:to>
        <xdr:sp macro="" textlink="">
          <xdr:nvSpPr>
            <xdr:cNvPr id="2520" name="Check Box 472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1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ASSENTO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904875</xdr:colOff>
          <xdr:row>319</xdr:row>
          <xdr:rowOff>28575</xdr:rowOff>
        </xdr:from>
        <xdr:to>
          <xdr:col>35</xdr:col>
          <xdr:colOff>571500</xdr:colOff>
          <xdr:row>320</xdr:row>
          <xdr:rowOff>57150</xdr:rowOff>
        </xdr:to>
        <xdr:sp macro="" textlink="">
          <xdr:nvSpPr>
            <xdr:cNvPr id="2521" name="Check Box 473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1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ENCOSTO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114300</xdr:colOff>
      <xdr:row>224</xdr:row>
      <xdr:rowOff>104774</xdr:rowOff>
    </xdr:from>
    <xdr:to>
      <xdr:col>9</xdr:col>
      <xdr:colOff>2281768</xdr:colOff>
      <xdr:row>230</xdr:row>
      <xdr:rowOff>190500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6645174"/>
          <a:ext cx="2167468" cy="1866901"/>
        </a:xfrm>
        <a:prstGeom prst="rect">
          <a:avLst/>
        </a:prstGeom>
      </xdr:spPr>
    </xdr:pic>
    <xdr:clientData/>
  </xdr:twoCellAnchor>
  <xdr:twoCellAnchor>
    <xdr:from>
      <xdr:col>9</xdr:col>
      <xdr:colOff>400050</xdr:colOff>
      <xdr:row>228</xdr:row>
      <xdr:rowOff>66675</xdr:rowOff>
    </xdr:from>
    <xdr:to>
      <xdr:col>9</xdr:col>
      <xdr:colOff>704850</xdr:colOff>
      <xdr:row>229</xdr:row>
      <xdr:rowOff>247650</xdr:rowOff>
    </xdr:to>
    <xdr:sp macro="" textlink="">
      <xdr:nvSpPr>
        <xdr:cNvPr id="404" name="Seta: para Baixo 40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/>
      </xdr:nvSpPr>
      <xdr:spPr>
        <a:xfrm rot="13445113">
          <a:off x="809625" y="57797700"/>
          <a:ext cx="304800" cy="476250"/>
        </a:xfrm>
        <a:prstGeom prst="downArrow">
          <a:avLst/>
        </a:prstGeom>
        <a:solidFill>
          <a:srgbClr val="FFFF00"/>
        </a:solidFill>
        <a:ln w="190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92075</xdr:colOff>
      <xdr:row>100</xdr:row>
      <xdr:rowOff>76199</xdr:rowOff>
    </xdr:from>
    <xdr:to>
      <xdr:col>13</xdr:col>
      <xdr:colOff>2276475</xdr:colOff>
      <xdr:row>106</xdr:row>
      <xdr:rowOff>276224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200" y="24536399"/>
          <a:ext cx="2184400" cy="1971675"/>
        </a:xfrm>
        <a:prstGeom prst="rect">
          <a:avLst/>
        </a:prstGeom>
      </xdr:spPr>
    </xdr:pic>
    <xdr:clientData/>
  </xdr:twoCellAnchor>
  <xdr:twoCellAnchor editAs="oneCell">
    <xdr:from>
      <xdr:col>19</xdr:col>
      <xdr:colOff>923925</xdr:colOff>
      <xdr:row>28</xdr:row>
      <xdr:rowOff>9525</xdr:rowOff>
    </xdr:from>
    <xdr:to>
      <xdr:col>20</xdr:col>
      <xdr:colOff>704850</xdr:colOff>
      <xdr:row>36</xdr:row>
      <xdr:rowOff>76200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9075" y="5248275"/>
          <a:ext cx="1247775" cy="1590675"/>
        </a:xfrm>
        <a:prstGeom prst="rect">
          <a:avLst/>
        </a:prstGeom>
      </xdr:spPr>
    </xdr:pic>
    <xdr:clientData/>
  </xdr:twoCellAnchor>
  <xdr:twoCellAnchor editAs="oneCell">
    <xdr:from>
      <xdr:col>21</xdr:col>
      <xdr:colOff>161925</xdr:colOff>
      <xdr:row>28</xdr:row>
      <xdr:rowOff>47625</xdr:rowOff>
    </xdr:from>
    <xdr:to>
      <xdr:col>22</xdr:col>
      <xdr:colOff>1133475</xdr:colOff>
      <xdr:row>36</xdr:row>
      <xdr:rowOff>28575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0225" y="5286375"/>
          <a:ext cx="1181100" cy="1504950"/>
        </a:xfrm>
        <a:prstGeom prst="rect">
          <a:avLst/>
        </a:prstGeom>
      </xdr:spPr>
    </xdr:pic>
    <xdr:clientData/>
  </xdr:twoCellAnchor>
  <xdr:twoCellAnchor editAs="oneCell">
    <xdr:from>
      <xdr:col>16</xdr:col>
      <xdr:colOff>800100</xdr:colOff>
      <xdr:row>28</xdr:row>
      <xdr:rowOff>19050</xdr:rowOff>
    </xdr:from>
    <xdr:to>
      <xdr:col>19</xdr:col>
      <xdr:colOff>676275</xdr:colOff>
      <xdr:row>36</xdr:row>
      <xdr:rowOff>57150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5257800"/>
          <a:ext cx="1343025" cy="1562100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28</xdr:row>
      <xdr:rowOff>135095</xdr:rowOff>
    </xdr:from>
    <xdr:to>
      <xdr:col>24</xdr:col>
      <xdr:colOff>27896</xdr:colOff>
      <xdr:row>36</xdr:row>
      <xdr:rowOff>9525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9450" y="5373845"/>
          <a:ext cx="1228046" cy="1398430"/>
        </a:xfrm>
        <a:prstGeom prst="rect">
          <a:avLst/>
        </a:prstGeom>
      </xdr:spPr>
    </xdr:pic>
    <xdr:clientData/>
  </xdr:twoCellAnchor>
  <xdr:twoCellAnchor editAs="oneCell">
    <xdr:from>
      <xdr:col>21</xdr:col>
      <xdr:colOff>178855</xdr:colOff>
      <xdr:row>9</xdr:row>
      <xdr:rowOff>95250</xdr:rowOff>
    </xdr:from>
    <xdr:to>
      <xdr:col>24</xdr:col>
      <xdr:colOff>276224</xdr:colOff>
      <xdr:row>18</xdr:row>
      <xdr:rowOff>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7155" y="1724025"/>
          <a:ext cx="2878669" cy="1619250"/>
        </a:xfrm>
        <a:prstGeom prst="rect">
          <a:avLst/>
        </a:prstGeom>
      </xdr:spPr>
    </xdr:pic>
    <xdr:clientData/>
  </xdr:twoCellAnchor>
  <xdr:twoCellAnchor editAs="oneCell">
    <xdr:from>
      <xdr:col>25</xdr:col>
      <xdr:colOff>78105</xdr:colOff>
      <xdr:row>9</xdr:row>
      <xdr:rowOff>104774</xdr:rowOff>
    </xdr:from>
    <xdr:to>
      <xdr:col>28</xdr:col>
      <xdr:colOff>314325</xdr:colOff>
      <xdr:row>17</xdr:row>
      <xdr:rowOff>180207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2505" y="1733549"/>
          <a:ext cx="1588770" cy="1599433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22</xdr:row>
      <xdr:rowOff>171451</xdr:rowOff>
    </xdr:from>
    <xdr:to>
      <xdr:col>9</xdr:col>
      <xdr:colOff>2236944</xdr:colOff>
      <xdr:row>36</xdr:row>
      <xdr:rowOff>95250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4276726"/>
          <a:ext cx="2408395" cy="2581274"/>
        </a:xfrm>
        <a:prstGeom prst="rect">
          <a:avLst/>
        </a:prstGeom>
      </xdr:spPr>
    </xdr:pic>
    <xdr:clientData/>
  </xdr:twoCellAnchor>
  <xdr:twoCellAnchor editAs="oneCell">
    <xdr:from>
      <xdr:col>9</xdr:col>
      <xdr:colOff>2028825</xdr:colOff>
      <xdr:row>22</xdr:row>
      <xdr:rowOff>66675</xdr:rowOff>
    </xdr:from>
    <xdr:to>
      <xdr:col>11</xdr:col>
      <xdr:colOff>2085975</xdr:colOff>
      <xdr:row>36</xdr:row>
      <xdr:rowOff>27687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0" y="4171950"/>
          <a:ext cx="2638425" cy="2618487"/>
        </a:xfrm>
        <a:prstGeom prst="rect">
          <a:avLst/>
        </a:prstGeom>
      </xdr:spPr>
    </xdr:pic>
    <xdr:clientData/>
  </xdr:twoCellAnchor>
  <xdr:twoCellAnchor editAs="oneCell">
    <xdr:from>
      <xdr:col>11</xdr:col>
      <xdr:colOff>1819276</xdr:colOff>
      <xdr:row>22</xdr:row>
      <xdr:rowOff>171451</xdr:rowOff>
    </xdr:from>
    <xdr:to>
      <xdr:col>13</xdr:col>
      <xdr:colOff>1637311</xdr:colOff>
      <xdr:row>35</xdr:row>
      <xdr:rowOff>180976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6" y="4276726"/>
          <a:ext cx="2399310" cy="2476500"/>
        </a:xfrm>
        <a:prstGeom prst="rect">
          <a:avLst/>
        </a:prstGeom>
      </xdr:spPr>
    </xdr:pic>
    <xdr:clientData/>
  </xdr:twoCellAnchor>
  <xdr:twoCellAnchor editAs="oneCell">
    <xdr:from>
      <xdr:col>13</xdr:col>
      <xdr:colOff>1609725</xdr:colOff>
      <xdr:row>22</xdr:row>
      <xdr:rowOff>19050</xdr:rowOff>
    </xdr:from>
    <xdr:to>
      <xdr:col>15</xdr:col>
      <xdr:colOff>940863</xdr:colOff>
      <xdr:row>36</xdr:row>
      <xdr:rowOff>133350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0" y="4124325"/>
          <a:ext cx="1931463" cy="27717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561975</xdr:colOff>
          <xdr:row>45</xdr:row>
          <xdr:rowOff>285750</xdr:rowOff>
        </xdr:from>
        <xdr:to>
          <xdr:col>23</xdr:col>
          <xdr:colOff>476250</xdr:colOff>
          <xdr:row>46</xdr:row>
          <xdr:rowOff>209550</xdr:rowOff>
        </xdr:to>
        <xdr:sp macro="" textlink="">
          <xdr:nvSpPr>
            <xdr:cNvPr id="2523" name="Option Button 475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1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JAGUARIBE - AGILE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0</xdr:colOff>
          <xdr:row>63</xdr:row>
          <xdr:rowOff>152400</xdr:rowOff>
        </xdr:from>
        <xdr:to>
          <xdr:col>35</xdr:col>
          <xdr:colOff>219075</xdr:colOff>
          <xdr:row>64</xdr:row>
          <xdr:rowOff>85725</xdr:rowOff>
        </xdr:to>
        <xdr:sp macro="" textlink="">
          <xdr:nvSpPr>
            <xdr:cNvPr id="2525" name="Option Button 477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1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oneCellAnchor>
    <xdr:from>
      <xdr:col>11</xdr:col>
      <xdr:colOff>838200</xdr:colOff>
      <xdr:row>186</xdr:row>
      <xdr:rowOff>60071</xdr:rowOff>
    </xdr:from>
    <xdr:ext cx="1538961" cy="1406779"/>
    <xdr:pic>
      <xdr:nvPicPr>
        <xdr:cNvPr id="420" name="Imagem 419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47580296"/>
          <a:ext cx="1538961" cy="140677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95250</xdr:colOff>
          <xdr:row>260</xdr:row>
          <xdr:rowOff>114300</xdr:rowOff>
        </xdr:from>
        <xdr:to>
          <xdr:col>20</xdr:col>
          <xdr:colOff>314325</xdr:colOff>
          <xdr:row>261</xdr:row>
          <xdr:rowOff>142875</xdr:rowOff>
        </xdr:to>
        <xdr:sp macro="" textlink="">
          <xdr:nvSpPr>
            <xdr:cNvPr id="2534" name="Option Button 486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1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 editAs="oneCell">
    <xdr:from>
      <xdr:col>25</xdr:col>
      <xdr:colOff>142875</xdr:colOff>
      <xdr:row>262</xdr:row>
      <xdr:rowOff>104775</xdr:rowOff>
    </xdr:from>
    <xdr:to>
      <xdr:col>29</xdr:col>
      <xdr:colOff>114300</xdr:colOff>
      <xdr:row>268</xdr:row>
      <xdr:rowOff>190500</xdr:rowOff>
    </xdr:to>
    <xdr:pic>
      <xdr:nvPicPr>
        <xdr:cNvPr id="423" name="Imagem 422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7275" y="66932175"/>
          <a:ext cx="2305050" cy="18573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209550</xdr:colOff>
          <xdr:row>317</xdr:row>
          <xdr:rowOff>238125</xdr:rowOff>
        </xdr:from>
        <xdr:to>
          <xdr:col>23</xdr:col>
          <xdr:colOff>1066800</xdr:colOff>
          <xdr:row>318</xdr:row>
          <xdr:rowOff>228600</xdr:rowOff>
        </xdr:to>
        <xdr:sp macro="" textlink="">
          <xdr:nvSpPr>
            <xdr:cNvPr id="2535" name="Check Box 487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1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APOIO DE PESCOÇO (COLAR SUPORTE)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209550</xdr:colOff>
          <xdr:row>319</xdr:row>
          <xdr:rowOff>47625</xdr:rowOff>
        </xdr:from>
        <xdr:to>
          <xdr:col>29</xdr:col>
          <xdr:colOff>0</xdr:colOff>
          <xdr:row>324</xdr:row>
          <xdr:rowOff>38100</xdr:rowOff>
        </xdr:to>
        <xdr:sp macro="" textlink="">
          <xdr:nvSpPr>
            <xdr:cNvPr id="2536" name="Group Box 488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1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TAMANHO DO APOIO DE PESCOÇO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320</xdr:row>
          <xdr:rowOff>66675</xdr:rowOff>
        </xdr:from>
        <xdr:to>
          <xdr:col>28</xdr:col>
          <xdr:colOff>285750</xdr:colOff>
          <xdr:row>321</xdr:row>
          <xdr:rowOff>95250</xdr:rowOff>
        </xdr:to>
        <xdr:sp macro="" textlink="">
          <xdr:nvSpPr>
            <xdr:cNvPr id="2537" name="Option Button 489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1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GRANDE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66675</xdr:colOff>
          <xdr:row>321</xdr:row>
          <xdr:rowOff>47625</xdr:rowOff>
        </xdr:from>
        <xdr:to>
          <xdr:col>28</xdr:col>
          <xdr:colOff>323850</xdr:colOff>
          <xdr:row>322</xdr:row>
          <xdr:rowOff>76200</xdr:rowOff>
        </xdr:to>
        <xdr:sp macro="" textlink="">
          <xdr:nvSpPr>
            <xdr:cNvPr id="2538" name="Option Button 490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1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PEQUENO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438150</xdr:colOff>
          <xdr:row>322</xdr:row>
          <xdr:rowOff>180975</xdr:rowOff>
        </xdr:from>
        <xdr:to>
          <xdr:col>28</xdr:col>
          <xdr:colOff>638175</xdr:colOff>
          <xdr:row>323</xdr:row>
          <xdr:rowOff>200025</xdr:rowOff>
        </xdr:to>
        <xdr:sp macro="" textlink="">
          <xdr:nvSpPr>
            <xdr:cNvPr id="2539" name="Option Button 491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1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FALTA ESCOLHER</a:t>
              </a:r>
            </a:p>
          </xdr:txBody>
        </xdr:sp>
        <xdr:clientData/>
      </xdr:twoCellAnchor>
    </mc:Choice>
    <mc:Fallback/>
  </mc:AlternateContent>
  <xdr:twoCellAnchor editAs="oneCell">
    <xdr:from>
      <xdr:col>35</xdr:col>
      <xdr:colOff>1190624</xdr:colOff>
      <xdr:row>65</xdr:row>
      <xdr:rowOff>108329</xdr:rowOff>
    </xdr:from>
    <xdr:to>
      <xdr:col>41</xdr:col>
      <xdr:colOff>276225</xdr:colOff>
      <xdr:row>72</xdr:row>
      <xdr:rowOff>359819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0624" y="14976854"/>
          <a:ext cx="1704976" cy="2061240"/>
        </a:xfrm>
        <a:prstGeom prst="rect">
          <a:avLst/>
        </a:prstGeom>
      </xdr:spPr>
    </xdr:pic>
    <xdr:clientData/>
  </xdr:twoCellAnchor>
  <xdr:twoCellAnchor editAs="oneCell">
    <xdr:from>
      <xdr:col>23</xdr:col>
      <xdr:colOff>483755</xdr:colOff>
      <xdr:row>79</xdr:row>
      <xdr:rowOff>323850</xdr:rowOff>
    </xdr:from>
    <xdr:to>
      <xdr:col>28</xdr:col>
      <xdr:colOff>561975</xdr:colOff>
      <xdr:row>85</xdr:row>
      <xdr:rowOff>209550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5580" y="18697575"/>
          <a:ext cx="2983345" cy="18097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123826</xdr:colOff>
      <xdr:row>121</xdr:row>
      <xdr:rowOff>140804</xdr:rowOff>
    </xdr:from>
    <xdr:to>
      <xdr:col>24</xdr:col>
      <xdr:colOff>285751</xdr:colOff>
      <xdr:row>128</xdr:row>
      <xdr:rowOff>152400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51" y="30325529"/>
          <a:ext cx="1409700" cy="2145196"/>
        </a:xfrm>
        <a:prstGeom prst="rect">
          <a:avLst/>
        </a:prstGeom>
      </xdr:spPr>
    </xdr:pic>
    <xdr:clientData/>
  </xdr:twoCellAnchor>
  <xdr:twoCellAnchor editAs="oneCell">
    <xdr:from>
      <xdr:col>27</xdr:col>
      <xdr:colOff>421616</xdr:colOff>
      <xdr:row>162</xdr:row>
      <xdr:rowOff>9525</xdr:rowOff>
    </xdr:from>
    <xdr:to>
      <xdr:col>29</xdr:col>
      <xdr:colOff>133349</xdr:colOff>
      <xdr:row>171</xdr:row>
      <xdr:rowOff>123825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7491" y="41548050"/>
          <a:ext cx="1673883" cy="209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186</xdr:row>
      <xdr:rowOff>57150</xdr:rowOff>
    </xdr:from>
    <xdr:to>
      <xdr:col>13</xdr:col>
      <xdr:colOff>2105025</xdr:colOff>
      <xdr:row>194</xdr:row>
      <xdr:rowOff>168061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47577375"/>
          <a:ext cx="2266950" cy="1634911"/>
        </a:xfrm>
        <a:prstGeom prst="rect">
          <a:avLst/>
        </a:prstGeom>
      </xdr:spPr>
    </xdr:pic>
    <xdr:clientData/>
  </xdr:twoCellAnchor>
  <xdr:twoCellAnchor>
    <xdr:from>
      <xdr:col>26</xdr:col>
      <xdr:colOff>27766</xdr:colOff>
      <xdr:row>267</xdr:row>
      <xdr:rowOff>77700</xdr:rowOff>
    </xdr:from>
    <xdr:to>
      <xdr:col>27</xdr:col>
      <xdr:colOff>574145</xdr:colOff>
      <xdr:row>268</xdr:row>
      <xdr:rowOff>11413</xdr:rowOff>
    </xdr:to>
    <xdr:sp macro="" textlink="">
      <xdr:nvSpPr>
        <xdr:cNvPr id="131" name="Retângulo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/>
      </xdr:nvSpPr>
      <xdr:spPr>
        <a:xfrm rot="3157620">
          <a:off x="16640899" y="68151342"/>
          <a:ext cx="228988" cy="689254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206762</xdr:colOff>
      <xdr:row>264</xdr:row>
      <xdr:rowOff>219428</xdr:rowOff>
    </xdr:from>
    <xdr:to>
      <xdr:col>27</xdr:col>
      <xdr:colOff>435750</xdr:colOff>
      <xdr:row>266</xdr:row>
      <xdr:rowOff>142845</xdr:rowOff>
    </xdr:to>
    <xdr:sp macro="" textlink="">
      <xdr:nvSpPr>
        <xdr:cNvPr id="428" name="Retângulo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/>
      </xdr:nvSpPr>
      <xdr:spPr>
        <a:xfrm rot="20624221">
          <a:off x="16732637" y="67637378"/>
          <a:ext cx="228988" cy="51396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637051</xdr:colOff>
      <xdr:row>266</xdr:row>
      <xdr:rowOff>66990</xdr:rowOff>
    </xdr:from>
    <xdr:to>
      <xdr:col>28</xdr:col>
      <xdr:colOff>631823</xdr:colOff>
      <xdr:row>267</xdr:row>
      <xdr:rowOff>703</xdr:rowOff>
    </xdr:to>
    <xdr:sp macro="" textlink="">
      <xdr:nvSpPr>
        <xdr:cNvPr id="429" name="Retângulo 428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/>
      </xdr:nvSpPr>
      <xdr:spPr>
        <a:xfrm rot="4578259">
          <a:off x="17536356" y="67702060"/>
          <a:ext cx="228988" cy="975847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21</xdr:col>
      <xdr:colOff>76200</xdr:colOff>
      <xdr:row>319</xdr:row>
      <xdr:rowOff>76200</xdr:rowOff>
    </xdr:from>
    <xdr:to>
      <xdr:col>23</xdr:col>
      <xdr:colOff>1181100</xdr:colOff>
      <xdr:row>327</xdr:row>
      <xdr:rowOff>85725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0" y="81762600"/>
          <a:ext cx="2638425" cy="1933575"/>
        </a:xfrm>
        <a:prstGeom prst="rect">
          <a:avLst/>
        </a:prstGeom>
      </xdr:spPr>
    </xdr:pic>
    <xdr:clientData/>
  </xdr:twoCellAnchor>
  <xdr:twoCellAnchor editAs="oneCell">
    <xdr:from>
      <xdr:col>19</xdr:col>
      <xdr:colOff>123825</xdr:colOff>
      <xdr:row>178</xdr:row>
      <xdr:rowOff>95250</xdr:rowOff>
    </xdr:from>
    <xdr:to>
      <xdr:col>21</xdr:col>
      <xdr:colOff>85725</xdr:colOff>
      <xdr:row>184</xdr:row>
      <xdr:rowOff>123825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45253275"/>
          <a:ext cx="2305050" cy="1800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</xdr:row>
      <xdr:rowOff>45720</xdr:rowOff>
    </xdr:from>
    <xdr:to>
      <xdr:col>1</xdr:col>
      <xdr:colOff>1752159</xdr:colOff>
      <xdr:row>5</xdr:row>
      <xdr:rowOff>95250</xdr:rowOff>
    </xdr:to>
    <xdr:pic>
      <xdr:nvPicPr>
        <xdr:cNvPr id="2" name="Imagem 4" descr="Logo Expansao 800 px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436245"/>
          <a:ext cx="1771209" cy="50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3" Type="http://schemas.openxmlformats.org/officeDocument/2006/relationships/ctrlProp" Target="../ctrlProps/ctrlProp210.xml"/><Relationship Id="rId218" Type="http://schemas.openxmlformats.org/officeDocument/2006/relationships/ctrlProp" Target="../ctrlProps/ctrlProp215.xml"/><Relationship Id="rId234" Type="http://schemas.openxmlformats.org/officeDocument/2006/relationships/ctrlProp" Target="../ctrlProps/ctrlProp231.xml"/><Relationship Id="rId239" Type="http://schemas.openxmlformats.org/officeDocument/2006/relationships/ctrlProp" Target="../ctrlProps/ctrlProp23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50" Type="http://schemas.openxmlformats.org/officeDocument/2006/relationships/ctrlProp" Target="../ctrlProps/ctrlProp247.xml"/><Relationship Id="rId255" Type="http://schemas.openxmlformats.org/officeDocument/2006/relationships/ctrlProp" Target="../ctrlProps/ctrlProp252.xml"/><Relationship Id="rId271" Type="http://schemas.openxmlformats.org/officeDocument/2006/relationships/ctrlProp" Target="../ctrlProps/ctrlProp268.xml"/><Relationship Id="rId276" Type="http://schemas.openxmlformats.org/officeDocument/2006/relationships/ctrlProp" Target="../ctrlProps/ctrlProp273.xml"/><Relationship Id="rId292" Type="http://schemas.openxmlformats.org/officeDocument/2006/relationships/ctrlProp" Target="../ctrlProps/ctrlProp289.xml"/><Relationship Id="rId297" Type="http://schemas.openxmlformats.org/officeDocument/2006/relationships/ctrlProp" Target="../ctrlProps/ctrlProp294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0" Type="http://schemas.openxmlformats.org/officeDocument/2006/relationships/ctrlProp" Target="../ctrlProps/ctrlProp237.xml"/><Relationship Id="rId245" Type="http://schemas.openxmlformats.org/officeDocument/2006/relationships/ctrlProp" Target="../ctrlProps/ctrlProp242.xml"/><Relationship Id="rId261" Type="http://schemas.openxmlformats.org/officeDocument/2006/relationships/ctrlProp" Target="../ctrlProps/ctrlProp258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282" Type="http://schemas.openxmlformats.org/officeDocument/2006/relationships/ctrlProp" Target="../ctrlProps/ctrlProp279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219" Type="http://schemas.openxmlformats.org/officeDocument/2006/relationships/ctrlProp" Target="../ctrlProps/ctrlProp21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0" Type="http://schemas.openxmlformats.org/officeDocument/2006/relationships/ctrlProp" Target="../ctrlProps/ctrlProp227.xml"/><Relationship Id="rId235" Type="http://schemas.openxmlformats.org/officeDocument/2006/relationships/ctrlProp" Target="../ctrlProps/ctrlProp232.xml"/><Relationship Id="rId251" Type="http://schemas.openxmlformats.org/officeDocument/2006/relationships/ctrlProp" Target="../ctrlProps/ctrlProp248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0" Type="http://schemas.openxmlformats.org/officeDocument/2006/relationships/ctrlProp" Target="../ctrlProps/ctrlProp217.xml"/><Relationship Id="rId225" Type="http://schemas.openxmlformats.org/officeDocument/2006/relationships/ctrlProp" Target="../ctrlProps/ctrlProp222.xml"/><Relationship Id="rId241" Type="http://schemas.openxmlformats.org/officeDocument/2006/relationships/ctrlProp" Target="../ctrlProps/ctrlProp238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2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2:DT286"/>
  <sheetViews>
    <sheetView showGridLines="0" tabSelected="1" zoomScale="80" zoomScaleNormal="80" workbookViewId="0">
      <selection activeCell="M6" sqref="M6:R8"/>
    </sheetView>
  </sheetViews>
  <sheetFormatPr defaultRowHeight="15" x14ac:dyDescent="0.25"/>
  <cols>
    <col min="1" max="1" width="3" style="163" customWidth="1"/>
    <col min="2" max="2" width="2.28515625" style="163" customWidth="1"/>
    <col min="3" max="3" width="1.28515625" style="163" customWidth="1"/>
    <col min="4" max="4" width="3" style="165" customWidth="1"/>
    <col min="5" max="8" width="9.140625" style="165"/>
    <col min="9" max="9" width="3.42578125" style="165" customWidth="1"/>
    <col min="10" max="18" width="9.140625" style="165"/>
    <col min="19" max="19" width="10" style="165" customWidth="1"/>
    <col min="20" max="20" width="3.140625" style="165" customWidth="1"/>
    <col min="21" max="22" width="9.140625" style="165"/>
    <col min="23" max="23" width="2.85546875" style="165" customWidth="1"/>
    <col min="24" max="24" width="15.42578125" style="165" customWidth="1"/>
    <col min="25" max="25" width="2.28515625" style="165" customWidth="1"/>
    <col min="26" max="26" width="3.28515625" style="165" customWidth="1"/>
    <col min="27" max="27" width="1.28515625" style="163" customWidth="1"/>
    <col min="28" max="28" width="2.28515625" style="165" customWidth="1"/>
    <col min="29" max="29" width="3.7109375" style="165" customWidth="1"/>
    <col min="30" max="30" width="4.7109375" style="165" customWidth="1"/>
    <col min="31" max="32" width="9.140625" style="165" customWidth="1"/>
    <col min="33" max="33" width="2.85546875" style="165" customWidth="1"/>
    <col min="34" max="35" width="9.140625" style="165" customWidth="1"/>
    <col min="36" max="36" width="2.85546875" style="165" customWidth="1"/>
    <col min="37" max="38" width="9.140625" style="165" customWidth="1"/>
    <col min="39" max="39" width="4.7109375" style="165" customWidth="1"/>
    <col min="40" max="48" width="9.140625" style="165" customWidth="1"/>
    <col min="49" max="52" width="9.140625" style="165" hidden="1" customWidth="1"/>
    <col min="53" max="53" width="9.28515625" style="165" hidden="1" customWidth="1"/>
    <col min="54" max="55" width="16.85546875" style="165" hidden="1" customWidth="1"/>
    <col min="56" max="56" width="6.42578125" style="165" hidden="1" customWidth="1"/>
    <col min="57" max="57" width="6" style="165" hidden="1" customWidth="1"/>
    <col min="58" max="58" width="3.42578125" style="165" hidden="1" customWidth="1"/>
    <col min="59" max="59" width="7.85546875" style="165" hidden="1" customWidth="1"/>
    <col min="60" max="63" width="9.85546875" style="165" hidden="1" customWidth="1"/>
    <col min="64" max="64" width="6.42578125" style="165" hidden="1" customWidth="1"/>
    <col min="65" max="65" width="6" style="165" hidden="1" customWidth="1"/>
    <col min="66" max="66" width="3.42578125" style="165" hidden="1" customWidth="1"/>
    <col min="67" max="67" width="7.85546875" style="165" hidden="1" customWidth="1"/>
    <col min="68" max="71" width="9.85546875" style="165" hidden="1" customWidth="1"/>
    <col min="72" max="72" width="6.42578125" style="165" hidden="1" customWidth="1"/>
    <col min="73" max="73" width="6" style="165" hidden="1" customWidth="1"/>
    <col min="74" max="74" width="3.42578125" style="165" hidden="1" customWidth="1"/>
    <col min="75" max="75" width="7.85546875" style="165" hidden="1" customWidth="1"/>
    <col min="76" max="79" width="9.85546875" style="165" hidden="1" customWidth="1"/>
    <col min="80" max="80" width="6.42578125" style="165" hidden="1" customWidth="1"/>
    <col min="81" max="83" width="9.140625" style="165" hidden="1" customWidth="1"/>
    <col min="84" max="98" width="9.140625" style="165" customWidth="1"/>
    <col min="99" max="16384" width="9.140625" style="165"/>
  </cols>
  <sheetData>
    <row r="2" spans="3:55" ht="6" customHeight="1" x14ac:dyDescent="0.25"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</row>
    <row r="3" spans="3:55" x14ac:dyDescent="0.25">
      <c r="C3" s="164"/>
      <c r="AA3" s="164"/>
    </row>
    <row r="4" spans="3:55" ht="18.75" x14ac:dyDescent="0.3">
      <c r="C4" s="164"/>
      <c r="AA4" s="164"/>
      <c r="BA4" s="166" t="s">
        <v>257</v>
      </c>
      <c r="BC4" s="167" t="s">
        <v>257</v>
      </c>
    </row>
    <row r="5" spans="3:55" ht="18.75" x14ac:dyDescent="0.25">
      <c r="C5" s="164"/>
      <c r="M5" s="168" t="s">
        <v>400</v>
      </c>
      <c r="T5" s="168" t="s">
        <v>184</v>
      </c>
      <c r="AA5" s="164"/>
      <c r="BA5" s="166" t="s">
        <v>270</v>
      </c>
      <c r="BC5" s="169">
        <v>1</v>
      </c>
    </row>
    <row r="6" spans="3:55" ht="18.75" customHeight="1" x14ac:dyDescent="0.25">
      <c r="C6" s="164"/>
      <c r="M6" s="571" t="s">
        <v>401</v>
      </c>
      <c r="N6" s="571"/>
      <c r="O6" s="571"/>
      <c r="P6" s="571"/>
      <c r="Q6" s="571"/>
      <c r="R6" s="571"/>
      <c r="T6" s="373" t="s">
        <v>367</v>
      </c>
      <c r="U6" s="373"/>
      <c r="V6" s="373"/>
      <c r="W6" s="373"/>
      <c r="X6" s="373"/>
      <c r="AA6" s="164"/>
      <c r="BA6" s="166" t="s">
        <v>271</v>
      </c>
      <c r="BC6" s="169">
        <v>2</v>
      </c>
    </row>
    <row r="7" spans="3:55" ht="18.75" customHeight="1" x14ac:dyDescent="0.3">
      <c r="C7" s="164"/>
      <c r="M7" s="571"/>
      <c r="N7" s="571"/>
      <c r="O7" s="571"/>
      <c r="P7" s="571"/>
      <c r="Q7" s="571"/>
      <c r="R7" s="571"/>
      <c r="T7" s="373"/>
      <c r="U7" s="373"/>
      <c r="V7" s="373"/>
      <c r="W7" s="373"/>
      <c r="X7" s="373"/>
      <c r="AA7" s="164"/>
      <c r="BA7" s="170"/>
      <c r="BC7" s="169">
        <v>3</v>
      </c>
    </row>
    <row r="8" spans="3:55" ht="18.75" customHeight="1" x14ac:dyDescent="0.3">
      <c r="C8" s="164"/>
      <c r="M8" s="571"/>
      <c r="N8" s="571"/>
      <c r="O8" s="571"/>
      <c r="P8" s="571"/>
      <c r="Q8" s="571"/>
      <c r="R8" s="571"/>
      <c r="T8" s="373"/>
      <c r="U8" s="373"/>
      <c r="V8" s="373"/>
      <c r="W8" s="373"/>
      <c r="X8" s="373"/>
      <c r="AA8" s="164"/>
      <c r="BA8" s="170"/>
      <c r="BC8" s="169">
        <v>4</v>
      </c>
    </row>
    <row r="9" spans="3:55" ht="18.75" x14ac:dyDescent="0.25">
      <c r="C9" s="164"/>
      <c r="AA9" s="164"/>
      <c r="BC9" s="169">
        <v>5</v>
      </c>
    </row>
    <row r="10" spans="3:55" ht="18.75" x14ac:dyDescent="0.25">
      <c r="C10" s="164"/>
      <c r="AA10" s="164"/>
      <c r="BC10" s="169">
        <v>6</v>
      </c>
    </row>
    <row r="11" spans="3:55" ht="18.75" x14ac:dyDescent="0.25">
      <c r="C11" s="164"/>
      <c r="F11" s="168" t="s">
        <v>179</v>
      </c>
      <c r="M11" s="168" t="s">
        <v>181</v>
      </c>
      <c r="T11" s="168" t="s">
        <v>182</v>
      </c>
      <c r="AA11" s="164"/>
      <c r="BC11" s="169">
        <v>7</v>
      </c>
    </row>
    <row r="12" spans="3:55" ht="18.75" customHeight="1" x14ac:dyDescent="0.25">
      <c r="C12" s="164"/>
      <c r="F12" s="375" t="s">
        <v>370</v>
      </c>
      <c r="G12" s="375"/>
      <c r="H12" s="375"/>
      <c r="I12" s="375"/>
      <c r="J12" s="375"/>
      <c r="K12" s="375"/>
      <c r="M12" s="375" t="s">
        <v>368</v>
      </c>
      <c r="N12" s="375"/>
      <c r="O12" s="375"/>
      <c r="P12" s="375"/>
      <c r="Q12" s="375"/>
      <c r="R12" s="375"/>
      <c r="T12" s="373" t="s">
        <v>182</v>
      </c>
      <c r="U12" s="373"/>
      <c r="V12" s="373"/>
      <c r="W12" s="373"/>
      <c r="X12" s="373"/>
      <c r="AA12" s="164"/>
      <c r="BC12" s="169">
        <v>8</v>
      </c>
    </row>
    <row r="13" spans="3:55" ht="18.75" customHeight="1" x14ac:dyDescent="0.25">
      <c r="C13" s="164"/>
      <c r="F13" s="375"/>
      <c r="G13" s="375"/>
      <c r="H13" s="375"/>
      <c r="I13" s="375"/>
      <c r="J13" s="375"/>
      <c r="K13" s="375"/>
      <c r="M13" s="375"/>
      <c r="N13" s="375"/>
      <c r="O13" s="375"/>
      <c r="P13" s="375"/>
      <c r="Q13" s="375"/>
      <c r="R13" s="375"/>
      <c r="T13" s="373"/>
      <c r="U13" s="373"/>
      <c r="V13" s="373"/>
      <c r="W13" s="373"/>
      <c r="X13" s="373"/>
      <c r="AA13" s="164"/>
      <c r="BC13" s="169">
        <v>9</v>
      </c>
    </row>
    <row r="14" spans="3:55" ht="18.75" customHeight="1" x14ac:dyDescent="0.25">
      <c r="C14" s="164"/>
      <c r="F14" s="375"/>
      <c r="G14" s="375"/>
      <c r="H14" s="375"/>
      <c r="I14" s="375"/>
      <c r="J14" s="375"/>
      <c r="K14" s="375"/>
      <c r="M14" s="375"/>
      <c r="N14" s="375"/>
      <c r="O14" s="375"/>
      <c r="P14" s="375"/>
      <c r="Q14" s="375"/>
      <c r="R14" s="375"/>
      <c r="T14" s="373"/>
      <c r="U14" s="373"/>
      <c r="V14" s="373"/>
      <c r="W14" s="373"/>
      <c r="X14" s="373"/>
      <c r="AA14" s="164"/>
      <c r="BC14" s="169">
        <v>10</v>
      </c>
    </row>
    <row r="15" spans="3:55" ht="18.75" x14ac:dyDescent="0.25">
      <c r="C15" s="164"/>
      <c r="AA15" s="164"/>
      <c r="BC15" s="169">
        <v>11</v>
      </c>
    </row>
    <row r="16" spans="3:55" ht="18.75" x14ac:dyDescent="0.25">
      <c r="C16" s="164"/>
      <c r="F16" s="168" t="s">
        <v>180</v>
      </c>
      <c r="M16" s="168" t="s">
        <v>183</v>
      </c>
      <c r="T16" s="168" t="s">
        <v>399</v>
      </c>
      <c r="AA16" s="164"/>
      <c r="BC16" s="169">
        <v>12</v>
      </c>
    </row>
    <row r="17" spans="3:55" ht="18.75" customHeight="1" x14ac:dyDescent="0.25">
      <c r="C17" s="164"/>
      <c r="F17" s="375" t="s">
        <v>371</v>
      </c>
      <c r="G17" s="375"/>
      <c r="H17" s="375"/>
      <c r="I17" s="375"/>
      <c r="J17" s="375"/>
      <c r="K17" s="375"/>
      <c r="M17" s="375" t="s">
        <v>369</v>
      </c>
      <c r="N17" s="375"/>
      <c r="O17" s="375"/>
      <c r="P17" s="375"/>
      <c r="Q17" s="375"/>
      <c r="R17" s="375"/>
      <c r="T17" s="373" t="s">
        <v>399</v>
      </c>
      <c r="U17" s="373"/>
      <c r="V17" s="373"/>
      <c r="W17" s="373"/>
      <c r="X17" s="373"/>
      <c r="AA17" s="164"/>
      <c r="BC17" s="169">
        <v>13</v>
      </c>
    </row>
    <row r="18" spans="3:55" ht="18.75" customHeight="1" x14ac:dyDescent="0.25">
      <c r="C18" s="164"/>
      <c r="F18" s="375"/>
      <c r="G18" s="375"/>
      <c r="H18" s="375"/>
      <c r="I18" s="375"/>
      <c r="J18" s="375"/>
      <c r="K18" s="375"/>
      <c r="M18" s="375"/>
      <c r="N18" s="375"/>
      <c r="O18" s="375"/>
      <c r="P18" s="375"/>
      <c r="Q18" s="375"/>
      <c r="R18" s="375"/>
      <c r="T18" s="373"/>
      <c r="U18" s="373"/>
      <c r="V18" s="373"/>
      <c r="W18" s="373"/>
      <c r="X18" s="373"/>
      <c r="AA18" s="164"/>
      <c r="BC18" s="169">
        <v>14</v>
      </c>
    </row>
    <row r="19" spans="3:55" ht="18.75" customHeight="1" x14ac:dyDescent="0.25">
      <c r="C19" s="164"/>
      <c r="F19" s="375"/>
      <c r="G19" s="375"/>
      <c r="H19" s="375"/>
      <c r="I19" s="375"/>
      <c r="J19" s="375"/>
      <c r="K19" s="375"/>
      <c r="M19" s="375"/>
      <c r="N19" s="375"/>
      <c r="O19" s="375"/>
      <c r="P19" s="375"/>
      <c r="Q19" s="375"/>
      <c r="R19" s="375"/>
      <c r="T19" s="373"/>
      <c r="U19" s="373"/>
      <c r="V19" s="373"/>
      <c r="W19" s="373"/>
      <c r="X19" s="373"/>
      <c r="AA19" s="164"/>
      <c r="BC19" s="169">
        <v>15</v>
      </c>
    </row>
    <row r="20" spans="3:55" ht="18.75" x14ac:dyDescent="0.25">
      <c r="C20" s="164"/>
      <c r="AA20" s="164"/>
      <c r="BC20" s="169">
        <v>16</v>
      </c>
    </row>
    <row r="21" spans="3:55" ht="18.75" x14ac:dyDescent="0.25">
      <c r="C21" s="164"/>
      <c r="AA21" s="164"/>
      <c r="BC21" s="169">
        <v>17</v>
      </c>
    </row>
    <row r="22" spans="3:55" ht="6" customHeight="1" x14ac:dyDescent="0.25"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  <c r="AA22" s="164"/>
      <c r="BC22" s="169">
        <v>18</v>
      </c>
    </row>
    <row r="23" spans="3:55" ht="18.75" customHeight="1" x14ac:dyDescent="0.25">
      <c r="C23" s="164"/>
      <c r="H23" s="374" t="s">
        <v>316</v>
      </c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AA23" s="164"/>
      <c r="BC23" s="169">
        <v>19</v>
      </c>
    </row>
    <row r="24" spans="3:55" ht="18.75" customHeight="1" x14ac:dyDescent="0.25">
      <c r="C24" s="16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374"/>
      <c r="AA24" s="164"/>
      <c r="BC24" s="169">
        <v>20</v>
      </c>
    </row>
    <row r="25" spans="3:55" ht="15.75" customHeight="1" thickBot="1" x14ac:dyDescent="0.3">
      <c r="C25" s="164"/>
      <c r="AA25" s="164"/>
      <c r="BC25" s="169">
        <v>21</v>
      </c>
    </row>
    <row r="26" spans="3:55" ht="22.5" customHeight="1" x14ac:dyDescent="0.25">
      <c r="C26" s="164"/>
      <c r="E26" s="363" t="s">
        <v>313</v>
      </c>
      <c r="F26" s="376"/>
      <c r="G26" s="377"/>
      <c r="H26" s="381" t="s">
        <v>372</v>
      </c>
      <c r="I26" s="382"/>
      <c r="J26" s="382"/>
      <c r="K26" s="382"/>
      <c r="L26" s="383"/>
      <c r="N26" s="363" t="s">
        <v>314</v>
      </c>
      <c r="O26" s="376"/>
      <c r="P26" s="377"/>
      <c r="Q26" s="369"/>
      <c r="R26" s="370"/>
      <c r="T26" s="363" t="s">
        <v>315</v>
      </c>
      <c r="U26" s="364"/>
      <c r="V26" s="365"/>
      <c r="W26" s="369"/>
      <c r="X26" s="370"/>
      <c r="AA26" s="164"/>
      <c r="BC26" s="172" t="s">
        <v>256</v>
      </c>
    </row>
    <row r="27" spans="3:55" ht="29.25" customHeight="1" thickBot="1" x14ac:dyDescent="0.3">
      <c r="C27" s="164"/>
      <c r="E27" s="378"/>
      <c r="F27" s="379"/>
      <c r="G27" s="380"/>
      <c r="H27" s="384"/>
      <c r="I27" s="385"/>
      <c r="J27" s="385"/>
      <c r="K27" s="385"/>
      <c r="L27" s="386"/>
      <c r="N27" s="378"/>
      <c r="O27" s="379"/>
      <c r="P27" s="380"/>
      <c r="Q27" s="371"/>
      <c r="R27" s="372"/>
      <c r="T27" s="366"/>
      <c r="U27" s="367"/>
      <c r="V27" s="368"/>
      <c r="W27" s="371"/>
      <c r="X27" s="372"/>
      <c r="AA27" s="164"/>
    </row>
    <row r="28" spans="3:55" ht="23.25" x14ac:dyDescent="0.25">
      <c r="C28" s="164"/>
      <c r="E28" s="171"/>
      <c r="F28" s="171"/>
      <c r="G28" s="171"/>
      <c r="H28" s="171"/>
      <c r="I28" s="171"/>
      <c r="J28" s="171"/>
      <c r="K28" s="171"/>
      <c r="L28" s="171"/>
      <c r="M28" s="171"/>
      <c r="AA28" s="164"/>
    </row>
    <row r="29" spans="3:55" ht="15" customHeight="1" x14ac:dyDescent="0.3">
      <c r="C29" s="164"/>
      <c r="AA29" s="164"/>
      <c r="BA29" s="173">
        <f>IF(H26&lt;&gt;"",0,1)</f>
        <v>0</v>
      </c>
    </row>
    <row r="30" spans="3:55" ht="18.75" x14ac:dyDescent="0.3">
      <c r="C30" s="164"/>
      <c r="AA30" s="164"/>
      <c r="BA30" s="173">
        <f>IF(Q26&lt;&gt;"",0,1)</f>
        <v>1</v>
      </c>
    </row>
    <row r="31" spans="3:55" ht="18.75" x14ac:dyDescent="0.3">
      <c r="C31" s="164"/>
      <c r="AA31" s="164"/>
      <c r="BA31" s="173">
        <f>IF(W26&lt;&gt;"",0,1)</f>
        <v>1</v>
      </c>
    </row>
    <row r="32" spans="3:55" ht="18.75" x14ac:dyDescent="0.3">
      <c r="C32" s="164"/>
      <c r="AA32" s="164"/>
      <c r="BA32" s="170"/>
    </row>
    <row r="33" spans="1:124" x14ac:dyDescent="0.25">
      <c r="C33" s="164"/>
      <c r="AA33" s="164"/>
    </row>
    <row r="34" spans="1:124" ht="18.75" x14ac:dyDescent="0.3">
      <c r="C34" s="164"/>
      <c r="AA34" s="164"/>
      <c r="BA34" s="173">
        <f>IF(K48&gt;0,0,1)</f>
        <v>1</v>
      </c>
    </row>
    <row r="35" spans="1:124" ht="18.75" x14ac:dyDescent="0.3">
      <c r="C35" s="164"/>
      <c r="AA35" s="164"/>
      <c r="BA35" s="173">
        <f>IF(P48&gt;0,0,1)</f>
        <v>1</v>
      </c>
      <c r="BC35" s="167">
        <v>1</v>
      </c>
      <c r="BD35" s="174" t="s">
        <v>258</v>
      </c>
    </row>
    <row r="36" spans="1:124" ht="19.5" thickBot="1" x14ac:dyDescent="0.35">
      <c r="C36" s="164"/>
      <c r="AA36" s="164"/>
      <c r="BA36" s="173">
        <f>IF(U48&gt;0,0,1)</f>
        <v>1</v>
      </c>
      <c r="BC36" s="167">
        <v>0</v>
      </c>
      <c r="BD36" s="174" t="s">
        <v>259</v>
      </c>
    </row>
    <row r="37" spans="1:124" ht="18.75" x14ac:dyDescent="0.3">
      <c r="C37" s="164"/>
      <c r="AA37" s="164"/>
      <c r="BA37" s="173"/>
      <c r="BJ37" s="353" t="s">
        <v>275</v>
      </c>
      <c r="BK37" s="354"/>
      <c r="BR37" s="349" t="s">
        <v>272</v>
      </c>
      <c r="BS37" s="350"/>
    </row>
    <row r="38" spans="1:124" ht="19.5" thickBot="1" x14ac:dyDescent="0.35">
      <c r="C38" s="164"/>
      <c r="AA38" s="164"/>
      <c r="BA38" s="175">
        <f>SUM(BA29:BA37)</f>
        <v>5</v>
      </c>
      <c r="BJ38" s="355"/>
      <c r="BK38" s="356"/>
      <c r="BR38" s="351"/>
      <c r="BS38" s="352"/>
    </row>
    <row r="39" spans="1:124" ht="19.5" customHeight="1" x14ac:dyDescent="0.3">
      <c r="C39" s="164"/>
      <c r="AA39" s="164"/>
      <c r="BA39" s="170"/>
      <c r="BJ39" s="176">
        <v>0</v>
      </c>
      <c r="BK39" s="177" t="s">
        <v>274</v>
      </c>
      <c r="BR39" s="176">
        <v>0</v>
      </c>
      <c r="BS39" s="177" t="s">
        <v>274</v>
      </c>
    </row>
    <row r="40" spans="1:124" ht="19.5" customHeight="1" x14ac:dyDescent="0.3">
      <c r="C40" s="164"/>
      <c r="AA40" s="164"/>
      <c r="BA40" s="178">
        <f>IF(BA38&gt;0,0,1)</f>
        <v>0</v>
      </c>
      <c r="BJ40" s="179">
        <v>3</v>
      </c>
      <c r="BK40" s="180" t="s">
        <v>274</v>
      </c>
      <c r="BR40" s="179">
        <v>3</v>
      </c>
      <c r="BS40" s="180" t="s">
        <v>274</v>
      </c>
    </row>
    <row r="41" spans="1:124" ht="19.5" customHeight="1" x14ac:dyDescent="0.3">
      <c r="C41" s="164"/>
      <c r="AA41" s="164"/>
      <c r="BA41" s="170"/>
      <c r="BJ41" s="179">
        <v>6</v>
      </c>
      <c r="BK41" s="181" t="s">
        <v>273</v>
      </c>
      <c r="BR41" s="179">
        <v>6</v>
      </c>
      <c r="BS41" s="181" t="s">
        <v>273</v>
      </c>
    </row>
    <row r="42" spans="1:124" ht="19.5" customHeight="1" x14ac:dyDescent="0.3">
      <c r="C42" s="164"/>
      <c r="AA42" s="164"/>
      <c r="BA42" s="170"/>
      <c r="BJ42" s="179">
        <v>12</v>
      </c>
      <c r="BK42" s="180" t="s">
        <v>274</v>
      </c>
      <c r="BR42" s="179">
        <v>13</v>
      </c>
      <c r="BS42" s="180" t="s">
        <v>274</v>
      </c>
    </row>
    <row r="43" spans="1:124" ht="19.5" customHeight="1" x14ac:dyDescent="0.25">
      <c r="C43" s="164"/>
      <c r="AA43" s="164"/>
      <c r="BC43" s="182"/>
      <c r="BD43" s="182"/>
      <c r="BJ43" s="179">
        <v>16</v>
      </c>
      <c r="BK43" s="181" t="s">
        <v>273</v>
      </c>
      <c r="BR43" s="179">
        <v>19</v>
      </c>
      <c r="BS43" s="181" t="s">
        <v>273</v>
      </c>
      <c r="BT43" s="163"/>
      <c r="BU43" s="163"/>
      <c r="BV43" s="163"/>
      <c r="BY43" s="163"/>
      <c r="BZ43" s="163"/>
      <c r="CA43" s="163"/>
      <c r="CB43" s="163"/>
      <c r="CC43" s="163"/>
      <c r="CD43" s="163"/>
      <c r="CE43" s="163"/>
      <c r="CF43" s="163"/>
      <c r="CG43" s="163"/>
      <c r="CH43" s="163"/>
      <c r="CI43" s="163"/>
      <c r="CJ43" s="163"/>
      <c r="CK43" s="163"/>
      <c r="CL43" s="163"/>
      <c r="CM43" s="163"/>
      <c r="CN43" s="163"/>
      <c r="CO43" s="163"/>
      <c r="CP43" s="163"/>
      <c r="CQ43" s="163"/>
      <c r="CR43" s="163"/>
      <c r="CS43" s="163"/>
      <c r="CT43" s="163"/>
      <c r="CU43" s="163"/>
      <c r="CV43" s="163"/>
      <c r="CW43" s="163"/>
      <c r="CX43" s="163"/>
      <c r="CY43" s="163"/>
      <c r="CZ43" s="163"/>
      <c r="DA43" s="163"/>
      <c r="DB43" s="163"/>
      <c r="DC43" s="163"/>
      <c r="DD43" s="163"/>
      <c r="DE43" s="163"/>
      <c r="DF43" s="163"/>
      <c r="DG43" s="163"/>
      <c r="DH43" s="163"/>
      <c r="DI43" s="163"/>
      <c r="DJ43" s="163"/>
      <c r="DK43" s="163"/>
      <c r="DL43" s="163"/>
      <c r="DM43" s="163"/>
      <c r="DN43" s="163"/>
      <c r="DO43" s="163"/>
      <c r="DP43" s="163"/>
      <c r="DQ43" s="163"/>
      <c r="DR43" s="163"/>
      <c r="DS43" s="163"/>
      <c r="DT43" s="163"/>
    </row>
    <row r="44" spans="1:124" s="164" customFormat="1" ht="15" customHeight="1" x14ac:dyDescent="0.25">
      <c r="A44" s="163"/>
      <c r="B44" s="163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83" t="s">
        <v>256</v>
      </c>
      <c r="BK44" s="181" t="s">
        <v>273</v>
      </c>
      <c r="BL44" s="165"/>
      <c r="BM44" s="165"/>
      <c r="BN44" s="165"/>
      <c r="BO44" s="165"/>
      <c r="BP44" s="165"/>
      <c r="BQ44" s="165"/>
      <c r="BR44" s="183" t="s">
        <v>256</v>
      </c>
      <c r="BS44" s="181" t="s">
        <v>273</v>
      </c>
      <c r="BT44" s="163"/>
      <c r="BU44" s="163"/>
      <c r="BV44" s="163"/>
      <c r="BW44" s="165"/>
      <c r="BX44" s="165"/>
      <c r="BY44" s="163"/>
      <c r="BZ44" s="163"/>
      <c r="CA44" s="163"/>
      <c r="CB44" s="163"/>
      <c r="CC44" s="163"/>
      <c r="CD44" s="163"/>
      <c r="CE44" s="163"/>
      <c r="CF44" s="163"/>
      <c r="CG44" s="163"/>
      <c r="CH44" s="163"/>
      <c r="CI44" s="163"/>
      <c r="CJ44" s="163"/>
      <c r="CK44" s="163"/>
      <c r="CL44" s="163"/>
      <c r="CM44" s="163"/>
      <c r="CN44" s="163"/>
      <c r="CO44" s="163"/>
      <c r="CP44" s="163"/>
      <c r="CQ44" s="163"/>
      <c r="CR44" s="163"/>
      <c r="CS44" s="163"/>
      <c r="CT44" s="163"/>
      <c r="CU44" s="163"/>
      <c r="CV44" s="163"/>
      <c r="CW44" s="163"/>
      <c r="CX44" s="163"/>
      <c r="CY44" s="163"/>
      <c r="CZ44" s="163"/>
      <c r="DA44" s="163"/>
      <c r="DB44" s="163"/>
      <c r="DC44" s="163"/>
      <c r="DD44" s="163"/>
      <c r="DE44" s="163"/>
      <c r="DF44" s="163"/>
      <c r="DG44" s="163"/>
      <c r="DH44" s="163"/>
      <c r="DI44" s="163"/>
      <c r="DJ44" s="163"/>
      <c r="DK44" s="163"/>
      <c r="DL44" s="163"/>
      <c r="DM44" s="163"/>
      <c r="DN44" s="163"/>
      <c r="DO44" s="163"/>
      <c r="DP44" s="163"/>
      <c r="DQ44" s="163"/>
      <c r="DR44" s="163"/>
      <c r="DS44" s="163"/>
      <c r="DT44" s="163"/>
    </row>
    <row r="45" spans="1:124" x14ac:dyDescent="0.25">
      <c r="C45" s="164"/>
      <c r="AA45" s="164"/>
      <c r="BT45" s="163"/>
      <c r="BU45" s="163"/>
      <c r="BV45" s="163"/>
      <c r="BY45" s="163"/>
      <c r="BZ45" s="163"/>
      <c r="CA45" s="163"/>
      <c r="CB45" s="163"/>
      <c r="CC45" s="163"/>
      <c r="CD45" s="163"/>
      <c r="CE45" s="163"/>
      <c r="CF45" s="163"/>
      <c r="CG45" s="163"/>
      <c r="CH45" s="163"/>
      <c r="CI45" s="163"/>
      <c r="CJ45" s="163"/>
      <c r="CK45" s="163"/>
      <c r="CL45" s="163"/>
      <c r="CM45" s="163"/>
      <c r="CN45" s="163"/>
      <c r="CO45" s="163"/>
      <c r="CP45" s="163"/>
      <c r="CQ45" s="163"/>
      <c r="CR45" s="163"/>
      <c r="CS45" s="163"/>
      <c r="CT45" s="163"/>
      <c r="CU45" s="163"/>
      <c r="CV45" s="163"/>
      <c r="CW45" s="163"/>
      <c r="CX45" s="163"/>
      <c r="CY45" s="163"/>
      <c r="CZ45" s="163"/>
      <c r="DA45" s="163"/>
      <c r="DB45" s="163"/>
      <c r="DC45" s="163"/>
      <c r="DD45" s="163"/>
      <c r="DE45" s="163"/>
      <c r="DF45" s="163"/>
      <c r="DG45" s="163"/>
      <c r="DH45" s="163"/>
      <c r="DI45" s="163"/>
      <c r="DJ45" s="163"/>
      <c r="DK45" s="163"/>
      <c r="DL45" s="163"/>
      <c r="DM45" s="163"/>
      <c r="DN45" s="163"/>
      <c r="DO45" s="163"/>
      <c r="DP45" s="163"/>
      <c r="DQ45" s="163"/>
      <c r="DR45" s="163"/>
      <c r="DS45" s="163"/>
      <c r="DT45" s="163"/>
    </row>
    <row r="46" spans="1:124" s="164" customFormat="1" ht="15" customHeight="1" thickBot="1" x14ac:dyDescent="0.3">
      <c r="A46" s="163"/>
      <c r="B46" s="163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3"/>
      <c r="BU46" s="163"/>
      <c r="BV46" s="163"/>
      <c r="BW46" s="165"/>
      <c r="BX46" s="165"/>
      <c r="BY46" s="163"/>
      <c r="BZ46" s="163"/>
      <c r="CA46" s="163"/>
      <c r="CB46" s="163"/>
      <c r="CC46" s="163"/>
      <c r="CD46" s="163"/>
      <c r="CE46" s="163"/>
      <c r="CF46" s="163"/>
      <c r="CG46" s="163"/>
      <c r="CH46" s="163"/>
      <c r="CI46" s="163"/>
      <c r="CJ46" s="163"/>
      <c r="CK46" s="163"/>
      <c r="CL46" s="163"/>
      <c r="CM46" s="163"/>
      <c r="CN46" s="163"/>
      <c r="CO46" s="163"/>
      <c r="CP46" s="163"/>
      <c r="CQ46" s="163"/>
      <c r="CR46" s="163"/>
      <c r="CS46" s="163"/>
      <c r="CT46" s="163"/>
      <c r="CU46" s="163"/>
      <c r="CV46" s="163"/>
      <c r="CW46" s="163"/>
      <c r="CX46" s="163"/>
      <c r="CY46" s="163"/>
      <c r="CZ46" s="163"/>
      <c r="DA46" s="163"/>
      <c r="DB46" s="163"/>
      <c r="DC46" s="163"/>
      <c r="DD46" s="163"/>
      <c r="DE46" s="163"/>
      <c r="DF46" s="163"/>
      <c r="DG46" s="163"/>
      <c r="DH46" s="163"/>
      <c r="DI46" s="163"/>
      <c r="DJ46" s="163"/>
      <c r="DK46" s="163"/>
      <c r="DL46" s="163"/>
      <c r="DM46" s="163"/>
      <c r="DN46" s="163"/>
      <c r="DO46" s="163"/>
      <c r="DP46" s="163"/>
      <c r="DQ46" s="163"/>
      <c r="DR46" s="163"/>
      <c r="DS46" s="163"/>
      <c r="DT46" s="163"/>
    </row>
    <row r="47" spans="1:124" x14ac:dyDescent="0.25">
      <c r="C47" s="164"/>
      <c r="AA47" s="164"/>
      <c r="BJ47" s="323" t="s">
        <v>276</v>
      </c>
      <c r="BK47" s="325"/>
      <c r="BR47" s="323" t="s">
        <v>276</v>
      </c>
      <c r="BS47" s="325"/>
      <c r="BT47" s="163"/>
      <c r="BU47" s="163"/>
      <c r="BV47" s="163"/>
      <c r="BY47" s="163"/>
      <c r="BZ47" s="163"/>
      <c r="CA47" s="163"/>
      <c r="CB47" s="163"/>
      <c r="CC47" s="163"/>
      <c r="CD47" s="163"/>
      <c r="CE47" s="163"/>
      <c r="CF47" s="163"/>
      <c r="CG47" s="163"/>
      <c r="CH47" s="163"/>
      <c r="CI47" s="163"/>
      <c r="CJ47" s="163"/>
      <c r="CK47" s="163"/>
      <c r="CL47" s="163"/>
      <c r="CM47" s="163"/>
      <c r="CN47" s="163"/>
      <c r="CO47" s="163"/>
      <c r="CP47" s="163"/>
      <c r="CQ47" s="163"/>
      <c r="CR47" s="163"/>
      <c r="CS47" s="163"/>
      <c r="CT47" s="163"/>
      <c r="CU47" s="163"/>
      <c r="CV47" s="163"/>
      <c r="CW47" s="163"/>
      <c r="CX47" s="163"/>
      <c r="CY47" s="163"/>
      <c r="CZ47" s="163"/>
      <c r="DA47" s="163"/>
      <c r="DB47" s="163"/>
      <c r="DC47" s="163"/>
      <c r="DD47" s="163"/>
      <c r="DE47" s="163"/>
      <c r="DF47" s="163"/>
      <c r="DG47" s="163"/>
      <c r="DH47" s="163"/>
      <c r="DI47" s="163"/>
      <c r="DJ47" s="163"/>
      <c r="DK47" s="163"/>
      <c r="DL47" s="163"/>
      <c r="DM47" s="163"/>
      <c r="DN47" s="163"/>
      <c r="DO47" s="163"/>
      <c r="DP47" s="163"/>
      <c r="DQ47" s="163"/>
      <c r="DR47" s="163"/>
      <c r="DS47" s="163"/>
      <c r="DT47" s="163"/>
    </row>
    <row r="48" spans="1:124" s="164" customFormat="1" ht="15" customHeight="1" thickBot="1" x14ac:dyDescent="0.3">
      <c r="A48" s="163"/>
      <c r="B48" s="163"/>
      <c r="D48" s="165"/>
      <c r="E48" s="165"/>
      <c r="F48" s="396"/>
      <c r="G48" s="397"/>
      <c r="H48" s="165"/>
      <c r="I48" s="165"/>
      <c r="J48" s="165"/>
      <c r="K48" s="396"/>
      <c r="L48" s="397"/>
      <c r="M48" s="165"/>
      <c r="N48" s="165"/>
      <c r="O48" s="165"/>
      <c r="P48" s="396"/>
      <c r="Q48" s="397"/>
      <c r="R48" s="165"/>
      <c r="S48" s="165"/>
      <c r="T48" s="165"/>
      <c r="U48" s="396"/>
      <c r="V48" s="397"/>
      <c r="W48" s="165"/>
      <c r="X48" s="165"/>
      <c r="Y48" s="165"/>
      <c r="Z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357"/>
      <c r="BK48" s="358"/>
      <c r="BL48" s="165"/>
      <c r="BM48" s="165"/>
      <c r="BN48" s="165"/>
      <c r="BO48" s="165"/>
      <c r="BP48" s="165"/>
      <c r="BQ48" s="165"/>
      <c r="BR48" s="357"/>
      <c r="BS48" s="358"/>
      <c r="BT48" s="163"/>
      <c r="BU48" s="163"/>
      <c r="BV48" s="163"/>
      <c r="BW48" s="165"/>
      <c r="BX48" s="165"/>
      <c r="BY48" s="163"/>
      <c r="BZ48" s="163"/>
      <c r="CA48" s="163"/>
      <c r="CB48" s="163"/>
      <c r="CC48" s="163"/>
      <c r="CD48" s="163"/>
      <c r="CE48" s="163"/>
      <c r="CF48" s="163"/>
      <c r="CG48" s="163"/>
      <c r="CH48" s="163"/>
      <c r="CI48" s="163"/>
      <c r="CJ48" s="163"/>
      <c r="CK48" s="163"/>
      <c r="CL48" s="163"/>
      <c r="CM48" s="163"/>
      <c r="CN48" s="163"/>
      <c r="CO48" s="163"/>
      <c r="CP48" s="163"/>
      <c r="CQ48" s="163"/>
      <c r="CR48" s="163"/>
      <c r="CS48" s="163"/>
      <c r="CT48" s="163"/>
      <c r="CU48" s="163"/>
      <c r="CV48" s="163"/>
      <c r="CW48" s="163"/>
      <c r="CX48" s="163"/>
      <c r="CY48" s="163"/>
      <c r="CZ48" s="163"/>
      <c r="DA48" s="163"/>
      <c r="DB48" s="163"/>
      <c r="DC48" s="163"/>
      <c r="DD48" s="163"/>
      <c r="DE48" s="163"/>
      <c r="DF48" s="163"/>
      <c r="DG48" s="163"/>
      <c r="DH48" s="163"/>
      <c r="DI48" s="163"/>
      <c r="DJ48" s="163"/>
      <c r="DK48" s="163"/>
      <c r="DL48" s="163"/>
      <c r="DM48" s="163"/>
      <c r="DN48" s="163"/>
      <c r="DO48" s="163"/>
      <c r="DP48" s="163"/>
      <c r="DQ48" s="163"/>
      <c r="DR48" s="163"/>
      <c r="DS48" s="163"/>
      <c r="DT48" s="163"/>
    </row>
    <row r="49" spans="1:124" s="164" customFormat="1" ht="15" customHeight="1" x14ac:dyDescent="0.25">
      <c r="A49" s="163"/>
      <c r="B49" s="163"/>
      <c r="D49" s="165"/>
      <c r="E49" s="165"/>
      <c r="F49" s="398"/>
      <c r="G49" s="399"/>
      <c r="H49" s="184" t="s">
        <v>200</v>
      </c>
      <c r="I49" s="185"/>
      <c r="J49" s="165"/>
      <c r="K49" s="398"/>
      <c r="L49" s="399"/>
      <c r="M49" s="184" t="s">
        <v>200</v>
      </c>
      <c r="N49" s="165"/>
      <c r="O49" s="165"/>
      <c r="P49" s="398"/>
      <c r="Q49" s="399"/>
      <c r="R49" s="184" t="s">
        <v>200</v>
      </c>
      <c r="S49" s="165"/>
      <c r="T49" s="165"/>
      <c r="U49" s="398"/>
      <c r="V49" s="399"/>
      <c r="W49" s="184" t="s">
        <v>200</v>
      </c>
      <c r="X49" s="165"/>
      <c r="Y49" s="165"/>
      <c r="Z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359" t="str">
        <f>VLOOKUP(W26,BJ39:BK44,2)</f>
        <v>FOLGADA</v>
      </c>
      <c r="BK49" s="360"/>
      <c r="BL49" s="165"/>
      <c r="BM49" s="165"/>
      <c r="BN49" s="165"/>
      <c r="BO49" s="165"/>
      <c r="BP49" s="165"/>
      <c r="BQ49" s="165"/>
      <c r="BR49" s="359" t="str">
        <f>VLOOKUP(W26,BR39:BS44,2)</f>
        <v>FOLGADA</v>
      </c>
      <c r="BS49" s="360"/>
      <c r="BT49" s="163"/>
      <c r="BU49" s="163"/>
      <c r="BV49" s="163"/>
      <c r="BW49" s="165"/>
      <c r="BX49" s="165"/>
      <c r="BY49" s="163"/>
      <c r="BZ49" s="163"/>
      <c r="CA49" s="163"/>
      <c r="CB49" s="163"/>
      <c r="CC49" s="163"/>
      <c r="CD49" s="163"/>
      <c r="CE49" s="163"/>
      <c r="CF49" s="163"/>
      <c r="CG49" s="163"/>
      <c r="CH49" s="163"/>
      <c r="CI49" s="163"/>
      <c r="CJ49" s="163"/>
      <c r="CK49" s="163"/>
      <c r="CL49" s="163"/>
      <c r="CM49" s="163"/>
      <c r="CN49" s="163"/>
      <c r="CO49" s="163"/>
      <c r="CP49" s="163"/>
      <c r="CQ49" s="163"/>
      <c r="CR49" s="163"/>
      <c r="CS49" s="163"/>
      <c r="CT49" s="163"/>
      <c r="CU49" s="163"/>
      <c r="CV49" s="163"/>
      <c r="CW49" s="163"/>
      <c r="CX49" s="163"/>
      <c r="CY49" s="163"/>
      <c r="CZ49" s="163"/>
      <c r="DA49" s="163"/>
      <c r="DB49" s="163"/>
      <c r="DC49" s="163"/>
      <c r="DD49" s="163"/>
      <c r="DE49" s="163"/>
      <c r="DF49" s="163"/>
      <c r="DG49" s="163"/>
      <c r="DH49" s="163"/>
      <c r="DI49" s="163"/>
      <c r="DJ49" s="163"/>
      <c r="DK49" s="163"/>
      <c r="DL49" s="163"/>
      <c r="DM49" s="163"/>
      <c r="DN49" s="163"/>
      <c r="DO49" s="163"/>
      <c r="DP49" s="163"/>
      <c r="DQ49" s="163"/>
      <c r="DR49" s="163"/>
      <c r="DS49" s="163"/>
      <c r="DT49" s="163"/>
    </row>
    <row r="50" spans="1:124" s="164" customFormat="1" ht="15" customHeight="1" thickBot="1" x14ac:dyDescent="0.3">
      <c r="A50" s="163"/>
      <c r="B50" s="163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361"/>
      <c r="BK50" s="362"/>
      <c r="BL50" s="165"/>
      <c r="BM50" s="165"/>
      <c r="BN50" s="165"/>
      <c r="BO50" s="165"/>
      <c r="BP50" s="165"/>
      <c r="BQ50" s="165"/>
      <c r="BR50" s="361"/>
      <c r="BS50" s="362"/>
      <c r="BT50" s="163"/>
      <c r="BU50" s="163"/>
      <c r="BV50" s="163"/>
      <c r="BW50" s="165"/>
      <c r="BX50" s="165"/>
      <c r="BY50" s="163"/>
      <c r="BZ50" s="163"/>
      <c r="CA50" s="163"/>
      <c r="CB50" s="163"/>
      <c r="CC50" s="163"/>
      <c r="CD50" s="163"/>
      <c r="CE50" s="163"/>
      <c r="CF50" s="163"/>
      <c r="CG50" s="163"/>
      <c r="CH50" s="163"/>
      <c r="CI50" s="163"/>
      <c r="CJ50" s="163"/>
      <c r="CK50" s="163"/>
      <c r="CL50" s="163"/>
      <c r="CM50" s="163"/>
      <c r="CN50" s="163"/>
      <c r="CO50" s="163"/>
      <c r="CP50" s="163"/>
      <c r="CQ50" s="163"/>
      <c r="CR50" s="163"/>
      <c r="CS50" s="163"/>
      <c r="CT50" s="163"/>
      <c r="CU50" s="163"/>
      <c r="CV50" s="163"/>
      <c r="CW50" s="163"/>
      <c r="CX50" s="163"/>
      <c r="CY50" s="163"/>
      <c r="CZ50" s="163"/>
      <c r="DA50" s="163"/>
      <c r="DB50" s="163"/>
      <c r="DC50" s="163"/>
      <c r="DD50" s="163"/>
      <c r="DE50" s="163"/>
      <c r="DF50" s="163"/>
      <c r="DG50" s="163"/>
      <c r="DH50" s="163"/>
      <c r="DI50" s="163"/>
      <c r="DJ50" s="163"/>
      <c r="DK50" s="163"/>
      <c r="DL50" s="163"/>
      <c r="DM50" s="163"/>
      <c r="DN50" s="163"/>
      <c r="DO50" s="163"/>
      <c r="DP50" s="163"/>
      <c r="DQ50" s="163"/>
      <c r="DR50" s="163"/>
      <c r="DS50" s="163"/>
      <c r="DT50" s="163"/>
    </row>
    <row r="51" spans="1:124" x14ac:dyDescent="0.25">
      <c r="C51" s="164"/>
      <c r="AA51" s="164"/>
      <c r="BS51" s="163"/>
      <c r="BT51" s="163"/>
      <c r="BU51" s="163"/>
      <c r="BV51" s="163"/>
      <c r="BY51" s="163"/>
      <c r="BZ51" s="163"/>
      <c r="CA51" s="163"/>
      <c r="CB51" s="163"/>
      <c r="CC51" s="163"/>
      <c r="CD51" s="163"/>
      <c r="CE51" s="163"/>
      <c r="CF51" s="163"/>
      <c r="CG51" s="163"/>
      <c r="CH51" s="163"/>
      <c r="CI51" s="163"/>
      <c r="CJ51" s="163"/>
      <c r="CK51" s="163"/>
      <c r="CL51" s="163"/>
      <c r="CM51" s="163"/>
      <c r="CN51" s="163"/>
      <c r="CO51" s="163"/>
      <c r="CP51" s="163"/>
      <c r="CQ51" s="163"/>
      <c r="CR51" s="163"/>
      <c r="CS51" s="163"/>
      <c r="CT51" s="163"/>
      <c r="CU51" s="163"/>
      <c r="CV51" s="163"/>
      <c r="CW51" s="163"/>
      <c r="CX51" s="163"/>
      <c r="CY51" s="163"/>
      <c r="CZ51" s="163"/>
      <c r="DA51" s="163"/>
      <c r="DB51" s="163"/>
      <c r="DC51" s="163"/>
      <c r="DD51" s="163"/>
      <c r="DE51" s="163"/>
      <c r="DF51" s="163"/>
      <c r="DG51" s="163"/>
      <c r="DH51" s="163"/>
      <c r="DI51" s="163"/>
      <c r="DJ51" s="163"/>
      <c r="DK51" s="163"/>
      <c r="DL51" s="163"/>
      <c r="DM51" s="163"/>
      <c r="DN51" s="163"/>
      <c r="DO51" s="163"/>
      <c r="DP51" s="163"/>
      <c r="DQ51" s="163"/>
      <c r="DR51" s="163"/>
      <c r="DS51" s="163"/>
      <c r="DT51" s="163"/>
    </row>
    <row r="52" spans="1:124" s="164" customFormat="1" ht="4.5" customHeight="1" thickBot="1" x14ac:dyDescent="0.3">
      <c r="A52" s="163"/>
      <c r="B52" s="163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3"/>
      <c r="BT52" s="163"/>
      <c r="BU52" s="163"/>
      <c r="BV52" s="163"/>
      <c r="BW52" s="165"/>
      <c r="BX52" s="165"/>
      <c r="BY52" s="163"/>
      <c r="BZ52" s="163"/>
      <c r="CA52" s="163"/>
      <c r="CB52" s="163"/>
      <c r="CC52" s="163"/>
      <c r="CD52" s="163"/>
      <c r="CE52" s="163"/>
      <c r="CF52" s="163"/>
      <c r="CG52" s="163"/>
      <c r="CH52" s="163"/>
      <c r="CI52" s="163"/>
      <c r="CJ52" s="163"/>
      <c r="CK52" s="163"/>
      <c r="CL52" s="163"/>
      <c r="CM52" s="163"/>
      <c r="CN52" s="163"/>
      <c r="CO52" s="163"/>
      <c r="CP52" s="163"/>
      <c r="CQ52" s="163"/>
      <c r="CR52" s="163"/>
      <c r="CS52" s="163"/>
      <c r="CT52" s="163"/>
      <c r="CU52" s="163"/>
      <c r="CV52" s="163"/>
      <c r="CW52" s="163"/>
      <c r="CX52" s="163"/>
      <c r="CY52" s="163"/>
      <c r="CZ52" s="163"/>
      <c r="DA52" s="163"/>
      <c r="DB52" s="163"/>
      <c r="DC52" s="163"/>
      <c r="DD52" s="163"/>
      <c r="DE52" s="163"/>
      <c r="DF52" s="163"/>
      <c r="DG52" s="163"/>
      <c r="DH52" s="163"/>
      <c r="DI52" s="163"/>
      <c r="DJ52" s="163"/>
      <c r="DK52" s="163"/>
      <c r="DL52" s="163"/>
      <c r="DM52" s="163"/>
      <c r="DN52" s="163"/>
      <c r="DO52" s="163"/>
      <c r="DP52" s="163"/>
      <c r="DQ52" s="163"/>
      <c r="DR52" s="163"/>
      <c r="DS52" s="163"/>
      <c r="DT52" s="163"/>
    </row>
    <row r="53" spans="1:124" s="164" customFormat="1" ht="15" customHeight="1" x14ac:dyDescent="0.25">
      <c r="A53" s="163"/>
      <c r="B53" s="163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B53" s="165"/>
      <c r="AC53" s="165"/>
      <c r="AD53" s="186"/>
      <c r="AE53" s="187"/>
      <c r="AF53" s="187"/>
      <c r="AG53" s="187"/>
      <c r="AH53" s="187"/>
      <c r="AI53" s="187"/>
      <c r="AJ53" s="187"/>
      <c r="AK53" s="187"/>
      <c r="AL53" s="187"/>
      <c r="AM53" s="188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323" t="s">
        <v>277</v>
      </c>
      <c r="BN53" s="324"/>
      <c r="BO53" s="324"/>
      <c r="BP53" s="325"/>
      <c r="BQ53" s="165"/>
      <c r="BR53" s="165"/>
      <c r="BS53" s="163"/>
      <c r="BT53" s="163"/>
      <c r="BU53" s="163"/>
      <c r="BV53" s="163"/>
      <c r="BW53" s="165"/>
      <c r="BX53" s="165"/>
      <c r="BY53" s="163"/>
      <c r="BZ53" s="163"/>
      <c r="CA53" s="163"/>
      <c r="CB53" s="163"/>
      <c r="CC53" s="163"/>
      <c r="CD53" s="163"/>
      <c r="CE53" s="163"/>
      <c r="CF53" s="163"/>
      <c r="CG53" s="163"/>
      <c r="CH53" s="163"/>
      <c r="CI53" s="163"/>
      <c r="CJ53" s="163"/>
      <c r="CK53" s="163"/>
      <c r="CL53" s="163"/>
      <c r="CM53" s="163"/>
      <c r="CN53" s="163"/>
      <c r="CO53" s="163"/>
      <c r="CP53" s="163"/>
      <c r="CQ53" s="163"/>
      <c r="CR53" s="163"/>
      <c r="CS53" s="163"/>
      <c r="CT53" s="163"/>
      <c r="CU53" s="163"/>
      <c r="CV53" s="163"/>
      <c r="CW53" s="163"/>
      <c r="CX53" s="163"/>
      <c r="CY53" s="163"/>
      <c r="CZ53" s="163"/>
      <c r="DA53" s="163"/>
      <c r="DB53" s="163"/>
      <c r="DC53" s="163"/>
      <c r="DD53" s="163"/>
      <c r="DE53" s="163"/>
      <c r="DF53" s="163"/>
      <c r="DG53" s="163"/>
      <c r="DH53" s="163"/>
      <c r="DI53" s="163"/>
      <c r="DJ53" s="163"/>
      <c r="DK53" s="163"/>
      <c r="DL53" s="163"/>
      <c r="DM53" s="163"/>
      <c r="DN53" s="163"/>
      <c r="DO53" s="163"/>
      <c r="DP53" s="163"/>
      <c r="DQ53" s="163"/>
      <c r="DR53" s="163"/>
      <c r="DS53" s="163"/>
      <c r="DT53" s="163"/>
    </row>
    <row r="54" spans="1:124" s="164" customFormat="1" ht="15.75" customHeight="1" thickBot="1" x14ac:dyDescent="0.3">
      <c r="A54" s="163"/>
      <c r="B54" s="163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B54" s="165"/>
      <c r="AC54" s="165"/>
      <c r="AD54" s="189"/>
      <c r="AE54" s="182"/>
      <c r="AF54" s="182"/>
      <c r="AG54" s="182"/>
      <c r="AH54" s="182"/>
      <c r="AI54" s="182"/>
      <c r="AJ54" s="182"/>
      <c r="AK54" s="182"/>
      <c r="AL54" s="182"/>
      <c r="AM54" s="190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326"/>
      <c r="BN54" s="327"/>
      <c r="BO54" s="327"/>
      <c r="BP54" s="328"/>
      <c r="BQ54" s="165"/>
      <c r="BR54" s="165"/>
      <c r="BS54" s="163"/>
      <c r="BT54" s="163"/>
      <c r="BU54" s="163"/>
      <c r="BV54" s="163"/>
      <c r="BW54" s="165"/>
      <c r="BX54" s="165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  <c r="CR54" s="163"/>
      <c r="CS54" s="163"/>
      <c r="CT54" s="163"/>
      <c r="CU54" s="163"/>
      <c r="CV54" s="163"/>
      <c r="CW54" s="163"/>
      <c r="CX54" s="163"/>
      <c r="CY54" s="163"/>
      <c r="CZ54" s="163"/>
      <c r="DA54" s="163"/>
      <c r="DB54" s="163"/>
      <c r="DC54" s="163"/>
      <c r="DD54" s="163"/>
      <c r="DE54" s="163"/>
      <c r="DF54" s="163"/>
      <c r="DG54" s="163"/>
      <c r="DH54" s="163"/>
      <c r="DI54" s="163"/>
      <c r="DJ54" s="163"/>
      <c r="DK54" s="163"/>
      <c r="DL54" s="163"/>
      <c r="DM54" s="163"/>
      <c r="DN54" s="163"/>
      <c r="DO54" s="163"/>
      <c r="DP54" s="163"/>
      <c r="DQ54" s="163"/>
      <c r="DR54" s="163"/>
      <c r="DS54" s="163"/>
      <c r="DT54" s="163"/>
    </row>
    <row r="55" spans="1:124" s="164" customFormat="1" ht="15" customHeight="1" x14ac:dyDescent="0.25">
      <c r="A55" s="163"/>
      <c r="B55" s="163"/>
      <c r="D55" s="165"/>
      <c r="E55" s="165"/>
      <c r="F55" s="165"/>
      <c r="G55" s="165"/>
      <c r="H55" s="165"/>
      <c r="I55" s="165"/>
      <c r="J55" s="400" t="s">
        <v>201</v>
      </c>
      <c r="K55" s="401"/>
      <c r="L55" s="401"/>
      <c r="M55" s="401"/>
      <c r="N55" s="401"/>
      <c r="O55" s="401"/>
      <c r="P55" s="402"/>
      <c r="Q55" s="165"/>
      <c r="R55" s="335" t="s">
        <v>202</v>
      </c>
      <c r="S55" s="335"/>
      <c r="T55" s="165"/>
      <c r="U55" s="336" t="s">
        <v>203</v>
      </c>
      <c r="V55" s="336"/>
      <c r="W55" s="165"/>
      <c r="X55" s="337" t="s">
        <v>269</v>
      </c>
      <c r="Y55" s="337"/>
      <c r="Z55" s="165"/>
      <c r="AB55" s="165"/>
      <c r="AC55" s="165"/>
      <c r="AD55" s="189"/>
      <c r="AE55" s="335" t="s">
        <v>298</v>
      </c>
      <c r="AF55" s="335"/>
      <c r="AG55" s="182"/>
      <c r="AH55" s="336" t="s">
        <v>299</v>
      </c>
      <c r="AI55" s="336"/>
      <c r="AJ55" s="182"/>
      <c r="AK55" s="337" t="s">
        <v>300</v>
      </c>
      <c r="AL55" s="337"/>
      <c r="AM55" s="190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329" t="str">
        <f>IF(Q26=BA5,BR49,IF(Q26=BA6,BJ49,""))</f>
        <v/>
      </c>
      <c r="BN55" s="330"/>
      <c r="BO55" s="330"/>
      <c r="BP55" s="331"/>
      <c r="BQ55" s="165"/>
      <c r="BR55" s="165"/>
      <c r="BS55" s="163"/>
      <c r="BT55" s="163"/>
      <c r="BU55" s="163"/>
      <c r="BV55" s="163"/>
      <c r="BW55" s="165"/>
      <c r="BX55" s="165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  <c r="CR55" s="163"/>
      <c r="CS55" s="163"/>
      <c r="CT55" s="163"/>
      <c r="CU55" s="163"/>
      <c r="CV55" s="163"/>
      <c r="CW55" s="163"/>
      <c r="CX55" s="163"/>
      <c r="CY55" s="163"/>
      <c r="CZ55" s="163"/>
      <c r="DA55" s="163"/>
      <c r="DB55" s="163"/>
      <c r="DC55" s="163"/>
      <c r="DD55" s="163"/>
      <c r="DE55" s="163"/>
      <c r="DF55" s="163"/>
      <c r="DG55" s="163"/>
      <c r="DH55" s="163"/>
      <c r="DI55" s="163"/>
      <c r="DJ55" s="163"/>
      <c r="DK55" s="163"/>
      <c r="DL55" s="163"/>
      <c r="DM55" s="163"/>
      <c r="DN55" s="163"/>
      <c r="DO55" s="163"/>
      <c r="DP55" s="163"/>
      <c r="DQ55" s="163"/>
      <c r="DR55" s="163"/>
      <c r="DS55" s="163"/>
      <c r="DT55" s="163"/>
    </row>
    <row r="56" spans="1:124" ht="15" customHeight="1" thickBot="1" x14ac:dyDescent="0.3">
      <c r="C56" s="164"/>
      <c r="J56" s="403"/>
      <c r="K56" s="404"/>
      <c r="L56" s="404"/>
      <c r="M56" s="404"/>
      <c r="N56" s="404"/>
      <c r="O56" s="404"/>
      <c r="P56" s="405"/>
      <c r="R56" s="335"/>
      <c r="S56" s="335"/>
      <c r="U56" s="336"/>
      <c r="V56" s="336"/>
      <c r="X56" s="337"/>
      <c r="Y56" s="337"/>
      <c r="AA56" s="164"/>
      <c r="AD56" s="189"/>
      <c r="AE56" s="335"/>
      <c r="AF56" s="335"/>
      <c r="AG56" s="182"/>
      <c r="AH56" s="336"/>
      <c r="AI56" s="336"/>
      <c r="AJ56" s="182"/>
      <c r="AK56" s="337"/>
      <c r="AL56" s="337"/>
      <c r="AM56" s="190"/>
      <c r="BE56" s="191"/>
      <c r="BF56" s="191"/>
      <c r="BG56" s="192"/>
      <c r="BH56" s="192"/>
      <c r="BM56" s="332"/>
      <c r="BN56" s="333"/>
      <c r="BO56" s="333"/>
      <c r="BP56" s="334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CW56" s="163"/>
      <c r="CX56" s="163"/>
      <c r="CY56" s="163"/>
      <c r="CZ56" s="163"/>
      <c r="DA56" s="163"/>
      <c r="DB56" s="163"/>
      <c r="DC56" s="163"/>
      <c r="DD56" s="163"/>
      <c r="DE56" s="163"/>
      <c r="DF56" s="163"/>
      <c r="DG56" s="163"/>
      <c r="DH56" s="163"/>
      <c r="DI56" s="163"/>
      <c r="DJ56" s="163"/>
      <c r="DK56" s="163"/>
      <c r="DL56" s="163"/>
      <c r="DM56" s="163"/>
      <c r="DN56" s="163"/>
      <c r="DO56" s="163"/>
      <c r="DP56" s="163"/>
      <c r="DQ56" s="163"/>
      <c r="DR56" s="163"/>
      <c r="DS56" s="163"/>
      <c r="DT56" s="163"/>
    </row>
    <row r="57" spans="1:124" ht="15.75" customHeight="1" x14ac:dyDescent="0.25">
      <c r="C57" s="164"/>
      <c r="J57" s="403"/>
      <c r="K57" s="404"/>
      <c r="L57" s="404"/>
      <c r="M57" s="404"/>
      <c r="N57" s="404"/>
      <c r="O57" s="404"/>
      <c r="P57" s="405"/>
      <c r="R57" s="320" t="str">
        <f>IF(BA40=1,H181,"")</f>
        <v/>
      </c>
      <c r="S57" s="320"/>
      <c r="U57" s="321" t="str">
        <f>IF(BA40=1,H182,"")</f>
        <v/>
      </c>
      <c r="V57" s="321"/>
      <c r="X57" s="322" t="str">
        <f>IF(BA40=1,H183,"")</f>
        <v/>
      </c>
      <c r="Y57" s="322"/>
      <c r="AA57" s="164"/>
      <c r="AD57" s="189"/>
      <c r="AE57" s="320" t="str">
        <f>IF(BA40=1,H176,"")</f>
        <v/>
      </c>
      <c r="AF57" s="320"/>
      <c r="AG57" s="182"/>
      <c r="AH57" s="321" t="str">
        <f>IF(BA40=1,H175,"")</f>
        <v/>
      </c>
      <c r="AI57" s="321"/>
      <c r="AJ57" s="182"/>
      <c r="AK57" s="322" t="str">
        <f>IF(BA40=1,H174,"")</f>
        <v/>
      </c>
      <c r="AL57" s="322"/>
      <c r="AM57" s="190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CW57" s="163"/>
      <c r="CX57" s="163"/>
      <c r="CY57" s="163"/>
      <c r="CZ57" s="163"/>
      <c r="DA57" s="163"/>
      <c r="DB57" s="163"/>
      <c r="DC57" s="163"/>
      <c r="DD57" s="163"/>
      <c r="DE57" s="163"/>
      <c r="DF57" s="163"/>
      <c r="DG57" s="163"/>
      <c r="DH57" s="163"/>
      <c r="DI57" s="163"/>
      <c r="DJ57" s="163"/>
      <c r="DK57" s="163"/>
      <c r="DL57" s="163"/>
      <c r="DM57" s="163"/>
      <c r="DN57" s="163"/>
      <c r="DO57" s="163"/>
      <c r="DP57" s="163"/>
      <c r="DQ57" s="163"/>
      <c r="DR57" s="163"/>
      <c r="DS57" s="163"/>
      <c r="DT57" s="163"/>
    </row>
    <row r="58" spans="1:124" x14ac:dyDescent="0.25">
      <c r="C58" s="164"/>
      <c r="J58" s="403"/>
      <c r="K58" s="404"/>
      <c r="L58" s="404"/>
      <c r="M58" s="404"/>
      <c r="N58" s="404"/>
      <c r="O58" s="404"/>
      <c r="P58" s="405"/>
      <c r="R58" s="320"/>
      <c r="S58" s="320"/>
      <c r="U58" s="321"/>
      <c r="V58" s="321"/>
      <c r="X58" s="322"/>
      <c r="Y58" s="322"/>
      <c r="AA58" s="164"/>
      <c r="AD58" s="189"/>
      <c r="AE58" s="320"/>
      <c r="AF58" s="320"/>
      <c r="AG58" s="182"/>
      <c r="AH58" s="321"/>
      <c r="AI58" s="321"/>
      <c r="AJ58" s="182"/>
      <c r="AK58" s="322"/>
      <c r="AL58" s="322"/>
      <c r="AM58" s="190"/>
      <c r="BS58" s="163"/>
      <c r="BT58" s="163"/>
      <c r="BU58" s="163"/>
      <c r="BV58" s="163"/>
      <c r="BW58" s="163"/>
      <c r="BX58" s="163"/>
      <c r="BY58" s="163"/>
      <c r="BZ58" s="163"/>
      <c r="CA58" s="163"/>
      <c r="CB58" s="163"/>
      <c r="CC58" s="163"/>
      <c r="CD58" s="163"/>
      <c r="CE58" s="163"/>
      <c r="CF58" s="163"/>
      <c r="CG58" s="163"/>
      <c r="CH58" s="163"/>
      <c r="CI58" s="163"/>
      <c r="CJ58" s="163"/>
      <c r="CK58" s="163"/>
      <c r="CL58" s="163"/>
      <c r="CM58" s="163"/>
      <c r="CN58" s="163"/>
      <c r="CO58" s="163"/>
      <c r="CP58" s="163"/>
      <c r="CQ58" s="163"/>
      <c r="CR58" s="163"/>
      <c r="CS58" s="163"/>
      <c r="CT58" s="163"/>
      <c r="CU58" s="163"/>
      <c r="CV58" s="163"/>
      <c r="CW58" s="163"/>
      <c r="CX58" s="163"/>
      <c r="CY58" s="163"/>
      <c r="CZ58" s="163"/>
      <c r="DA58" s="163"/>
      <c r="DB58" s="163"/>
      <c r="DC58" s="163"/>
      <c r="DD58" s="163"/>
      <c r="DE58" s="163"/>
      <c r="DF58" s="163"/>
      <c r="DG58" s="163"/>
      <c r="DH58" s="163"/>
      <c r="DI58" s="163"/>
      <c r="DJ58" s="163"/>
      <c r="DK58" s="163"/>
      <c r="DL58" s="163"/>
      <c r="DM58" s="163"/>
      <c r="DN58" s="163"/>
      <c r="DO58" s="163"/>
      <c r="DP58" s="163"/>
      <c r="DQ58" s="163"/>
      <c r="DR58" s="163"/>
      <c r="DS58" s="163"/>
      <c r="DT58" s="163"/>
    </row>
    <row r="59" spans="1:124" x14ac:dyDescent="0.25">
      <c r="C59" s="164"/>
      <c r="J59" s="403"/>
      <c r="K59" s="404"/>
      <c r="L59" s="404"/>
      <c r="M59" s="404"/>
      <c r="N59" s="404"/>
      <c r="O59" s="404"/>
      <c r="P59" s="405"/>
      <c r="R59" s="317" t="s">
        <v>317</v>
      </c>
      <c r="S59" s="317"/>
      <c r="U59" s="317" t="s">
        <v>204</v>
      </c>
      <c r="V59" s="317"/>
      <c r="X59" s="317" t="s">
        <v>204</v>
      </c>
      <c r="Y59" s="317"/>
      <c r="AA59" s="164"/>
      <c r="AD59" s="189"/>
      <c r="AE59" s="317" t="s">
        <v>204</v>
      </c>
      <c r="AF59" s="317"/>
      <c r="AG59" s="182"/>
      <c r="AH59" s="317" t="s">
        <v>204</v>
      </c>
      <c r="AI59" s="317"/>
      <c r="AJ59" s="182"/>
      <c r="AK59" s="317" t="s">
        <v>204</v>
      </c>
      <c r="AL59" s="317"/>
      <c r="AM59" s="190"/>
      <c r="BS59" s="163"/>
      <c r="BT59" s="163"/>
      <c r="BU59" s="163"/>
      <c r="BV59" s="163"/>
      <c r="BW59" s="163"/>
      <c r="BX59" s="163"/>
      <c r="BY59" s="163"/>
      <c r="BZ59" s="163"/>
      <c r="CA59" s="163"/>
      <c r="CB59" s="163"/>
      <c r="CC59" s="163"/>
      <c r="CD59" s="163"/>
      <c r="CE59" s="163"/>
      <c r="CF59" s="163"/>
      <c r="CG59" s="163"/>
      <c r="CH59" s="163"/>
    </row>
    <row r="60" spans="1:124" ht="15.75" thickBot="1" x14ac:dyDescent="0.3">
      <c r="C60" s="164"/>
      <c r="J60" s="406"/>
      <c r="K60" s="407"/>
      <c r="L60" s="407"/>
      <c r="M60" s="407"/>
      <c r="N60" s="407"/>
      <c r="O60" s="407"/>
      <c r="P60" s="408"/>
      <c r="R60" s="388"/>
      <c r="S60" s="388"/>
      <c r="U60" s="388"/>
      <c r="V60" s="388"/>
      <c r="X60" s="388"/>
      <c r="Y60" s="388"/>
      <c r="AA60" s="164"/>
      <c r="AD60" s="189"/>
      <c r="AE60" s="318"/>
      <c r="AF60" s="318"/>
      <c r="AG60" s="182"/>
      <c r="AH60" s="318"/>
      <c r="AI60" s="318"/>
      <c r="AJ60" s="182"/>
      <c r="AK60" s="318"/>
      <c r="AL60" s="318"/>
      <c r="AM60" s="190"/>
      <c r="BE60" s="191"/>
      <c r="BF60" s="191"/>
      <c r="BG60" s="192"/>
      <c r="BS60" s="163"/>
      <c r="BT60" s="163"/>
      <c r="BU60" s="163"/>
      <c r="BV60" s="163"/>
      <c r="BW60" s="163"/>
      <c r="BX60" s="163"/>
      <c r="BY60" s="163"/>
      <c r="BZ60" s="163"/>
      <c r="CA60" s="163"/>
      <c r="CB60" s="163"/>
      <c r="CC60" s="163"/>
      <c r="CD60" s="163"/>
      <c r="CE60" s="163"/>
      <c r="CF60" s="163"/>
      <c r="CG60" s="163"/>
      <c r="CH60" s="163"/>
    </row>
    <row r="61" spans="1:124" ht="16.5" customHeight="1" x14ac:dyDescent="0.25">
      <c r="C61" s="164"/>
      <c r="R61" s="319"/>
      <c r="S61" s="319"/>
      <c r="U61" s="319"/>
      <c r="V61" s="319"/>
      <c r="X61" s="319"/>
      <c r="Y61" s="319"/>
      <c r="AA61" s="164"/>
      <c r="AD61" s="189"/>
      <c r="AE61" s="319"/>
      <c r="AF61" s="319"/>
      <c r="AG61" s="182"/>
      <c r="AH61" s="319"/>
      <c r="AI61" s="319"/>
      <c r="AJ61" s="182"/>
      <c r="AK61" s="319"/>
      <c r="AL61" s="319"/>
      <c r="AM61" s="190"/>
      <c r="BE61" s="191"/>
      <c r="BF61" s="191"/>
      <c r="BG61" s="192"/>
    </row>
    <row r="62" spans="1:124" ht="18" customHeight="1" x14ac:dyDescent="0.25">
      <c r="C62" s="164"/>
      <c r="J62" s="390" t="s">
        <v>218</v>
      </c>
      <c r="K62" s="390"/>
      <c r="L62" s="390"/>
      <c r="M62" s="390"/>
      <c r="N62" s="390"/>
      <c r="O62" s="391"/>
      <c r="P62" s="392" t="s">
        <v>205</v>
      </c>
      <c r="Q62" s="393"/>
      <c r="R62" s="338" t="str">
        <f>IF(BA40=1,J181,"")</f>
        <v/>
      </c>
      <c r="S62" s="339"/>
      <c r="U62" s="338" t="str">
        <f>IF(BA40=1,J182,"")</f>
        <v/>
      </c>
      <c r="V62" s="339"/>
      <c r="X62" s="338" t="str">
        <f>IF(BA40=1,J183,"")</f>
        <v/>
      </c>
      <c r="Y62" s="339"/>
      <c r="AA62" s="164"/>
      <c r="AD62" s="189"/>
      <c r="AE62" s="338" t="str">
        <f>IF(BA40=1,J176,"")</f>
        <v/>
      </c>
      <c r="AF62" s="339"/>
      <c r="AG62" s="182"/>
      <c r="AH62" s="338" t="str">
        <f>IF(BA40=1,J175,"")</f>
        <v/>
      </c>
      <c r="AI62" s="339"/>
      <c r="AJ62" s="182"/>
      <c r="AK62" s="338" t="str">
        <f>IF(BA40=1,J174,"")</f>
        <v/>
      </c>
      <c r="AL62" s="339"/>
      <c r="AM62" s="190"/>
      <c r="BE62" s="191"/>
      <c r="BF62" s="191"/>
      <c r="BG62" s="192"/>
      <c r="BH62" s="192"/>
    </row>
    <row r="63" spans="1:124" ht="18" customHeight="1" x14ac:dyDescent="0.25">
      <c r="C63" s="164"/>
      <c r="J63" s="390"/>
      <c r="K63" s="390"/>
      <c r="L63" s="390"/>
      <c r="M63" s="390"/>
      <c r="N63" s="390"/>
      <c r="O63" s="391"/>
      <c r="P63" s="394"/>
      <c r="Q63" s="395"/>
      <c r="R63" s="340"/>
      <c r="S63" s="341"/>
      <c r="U63" s="340"/>
      <c r="V63" s="341"/>
      <c r="X63" s="340"/>
      <c r="Y63" s="341"/>
      <c r="AA63" s="164"/>
      <c r="AD63" s="189"/>
      <c r="AE63" s="340"/>
      <c r="AF63" s="341"/>
      <c r="AG63" s="182"/>
      <c r="AH63" s="340"/>
      <c r="AI63" s="341"/>
      <c r="AJ63" s="182"/>
      <c r="AK63" s="340"/>
      <c r="AL63" s="341"/>
      <c r="AM63" s="190"/>
      <c r="BE63" s="191"/>
      <c r="BF63" s="191"/>
      <c r="BG63" s="192"/>
      <c r="BH63" s="192"/>
    </row>
    <row r="64" spans="1:124" ht="18" customHeight="1" x14ac:dyDescent="0.25">
      <c r="C64" s="164"/>
      <c r="J64" s="390"/>
      <c r="K64" s="390"/>
      <c r="L64" s="390"/>
      <c r="M64" s="390"/>
      <c r="N64" s="390"/>
      <c r="O64" s="391"/>
      <c r="P64" s="392" t="s">
        <v>207</v>
      </c>
      <c r="Q64" s="393"/>
      <c r="R64" s="338" t="str">
        <f>IF(BA40=1,K181,"")</f>
        <v/>
      </c>
      <c r="S64" s="339"/>
      <c r="U64" s="338" t="str">
        <f>IF(BA40=1,K182,"")</f>
        <v/>
      </c>
      <c r="V64" s="339"/>
      <c r="X64" s="338" t="str">
        <f>IF(BA40=1,K183,"")</f>
        <v/>
      </c>
      <c r="Y64" s="339"/>
      <c r="AA64" s="164"/>
      <c r="AD64" s="189"/>
      <c r="AE64" s="338" t="str">
        <f>IF(BA40=1,K176,"")</f>
        <v/>
      </c>
      <c r="AF64" s="339"/>
      <c r="AG64" s="182"/>
      <c r="AH64" s="338" t="str">
        <f>IF(BA40=1,K175,"")</f>
        <v/>
      </c>
      <c r="AI64" s="339"/>
      <c r="AJ64" s="182"/>
      <c r="AK64" s="338" t="str">
        <f>IF(BA40=1,K174,"")</f>
        <v/>
      </c>
      <c r="AL64" s="339"/>
      <c r="AM64" s="190"/>
      <c r="BE64" s="191"/>
      <c r="BF64" s="191"/>
      <c r="BG64" s="192"/>
      <c r="BH64" s="192"/>
    </row>
    <row r="65" spans="1:60" ht="18" customHeight="1" x14ac:dyDescent="0.25">
      <c r="C65" s="164"/>
      <c r="J65" s="390"/>
      <c r="K65" s="390"/>
      <c r="L65" s="390"/>
      <c r="M65" s="390"/>
      <c r="N65" s="390"/>
      <c r="O65" s="391"/>
      <c r="P65" s="394"/>
      <c r="Q65" s="395"/>
      <c r="R65" s="340"/>
      <c r="S65" s="341"/>
      <c r="U65" s="340"/>
      <c r="V65" s="341"/>
      <c r="X65" s="340"/>
      <c r="Y65" s="341"/>
      <c r="Z65" s="193"/>
      <c r="AA65" s="164"/>
      <c r="AD65" s="189"/>
      <c r="AE65" s="340"/>
      <c r="AF65" s="341"/>
      <c r="AG65" s="182"/>
      <c r="AH65" s="340"/>
      <c r="AI65" s="341"/>
      <c r="AJ65" s="182"/>
      <c r="AK65" s="340"/>
      <c r="AL65" s="341"/>
      <c r="AM65" s="190"/>
      <c r="BE65" s="191"/>
      <c r="BF65" s="191"/>
      <c r="BG65" s="192"/>
      <c r="BH65" s="192"/>
    </row>
    <row r="66" spans="1:60" ht="18" customHeight="1" x14ac:dyDescent="0.25">
      <c r="C66" s="164"/>
      <c r="J66" s="390"/>
      <c r="K66" s="390"/>
      <c r="L66" s="390"/>
      <c r="M66" s="390"/>
      <c r="N66" s="390"/>
      <c r="O66" s="391"/>
      <c r="P66" s="392" t="s">
        <v>206</v>
      </c>
      <c r="Q66" s="393"/>
      <c r="R66" s="338" t="str">
        <f>IF(BA40=1,L181,"")</f>
        <v/>
      </c>
      <c r="S66" s="339"/>
      <c r="U66" s="338" t="str">
        <f>IF(BA40=1,L182,"")</f>
        <v/>
      </c>
      <c r="V66" s="339"/>
      <c r="X66" s="338" t="str">
        <f>IF(BA40=1,L183,"")</f>
        <v/>
      </c>
      <c r="Y66" s="339"/>
      <c r="Z66" s="193"/>
      <c r="AA66" s="164"/>
      <c r="AD66" s="189"/>
      <c r="AE66" s="338" t="str">
        <f>IF(BA40=1,L176,"")</f>
        <v/>
      </c>
      <c r="AF66" s="339"/>
      <c r="AG66" s="182"/>
      <c r="AH66" s="338" t="str">
        <f>IF(BA40=1,L175,"")</f>
        <v/>
      </c>
      <c r="AI66" s="339"/>
      <c r="AJ66" s="182"/>
      <c r="AK66" s="338" t="str">
        <f>IF(BA40=1,L174,"")</f>
        <v/>
      </c>
      <c r="AL66" s="339"/>
      <c r="AM66" s="190"/>
      <c r="BE66" s="191"/>
      <c r="BF66" s="191"/>
      <c r="BG66" s="192"/>
      <c r="BH66" s="192"/>
    </row>
    <row r="67" spans="1:60" ht="18" customHeight="1" x14ac:dyDescent="0.25">
      <c r="C67" s="164"/>
      <c r="J67" s="390"/>
      <c r="K67" s="390"/>
      <c r="L67" s="390"/>
      <c r="M67" s="390"/>
      <c r="N67" s="390"/>
      <c r="O67" s="391"/>
      <c r="P67" s="394"/>
      <c r="Q67" s="395"/>
      <c r="R67" s="340"/>
      <c r="S67" s="341"/>
      <c r="U67" s="340"/>
      <c r="V67" s="341"/>
      <c r="X67" s="340"/>
      <c r="Y67" s="341"/>
      <c r="Z67" s="193"/>
      <c r="AA67" s="164"/>
      <c r="AD67" s="189"/>
      <c r="AE67" s="340"/>
      <c r="AF67" s="341"/>
      <c r="AG67" s="182"/>
      <c r="AH67" s="340"/>
      <c r="AI67" s="341"/>
      <c r="AJ67" s="182"/>
      <c r="AK67" s="340"/>
      <c r="AL67" s="341"/>
      <c r="AM67" s="190"/>
      <c r="BE67" s="191"/>
      <c r="BF67" s="191"/>
      <c r="BG67" s="192"/>
      <c r="BH67" s="192"/>
    </row>
    <row r="68" spans="1:60" ht="18" customHeight="1" x14ac:dyDescent="0.25">
      <c r="C68" s="164"/>
      <c r="J68" s="390"/>
      <c r="K68" s="390"/>
      <c r="L68" s="390"/>
      <c r="M68" s="390"/>
      <c r="N68" s="390"/>
      <c r="O68" s="391"/>
      <c r="P68" s="392" t="s">
        <v>208</v>
      </c>
      <c r="Q68" s="393"/>
      <c r="R68" s="338" t="str">
        <f>IF(BA40=1,M181,"")</f>
        <v/>
      </c>
      <c r="S68" s="339"/>
      <c r="U68" s="338" t="str">
        <f>IF(BA40=1,M182,"")</f>
        <v/>
      </c>
      <c r="V68" s="339"/>
      <c r="X68" s="338" t="str">
        <f>IF(BA40=1,M183,"")</f>
        <v/>
      </c>
      <c r="Y68" s="339"/>
      <c r="Z68" s="193"/>
      <c r="AA68" s="164"/>
      <c r="AD68" s="189"/>
      <c r="AE68" s="338" t="str">
        <f>IF(BA40=1,M176,"")</f>
        <v/>
      </c>
      <c r="AF68" s="339"/>
      <c r="AG68" s="182"/>
      <c r="AH68" s="338" t="str">
        <f>IF(BA40=1,M175,"")</f>
        <v/>
      </c>
      <c r="AI68" s="339"/>
      <c r="AJ68" s="182"/>
      <c r="AK68" s="338" t="str">
        <f>IF(BA40=1,M174,"")</f>
        <v/>
      </c>
      <c r="AL68" s="339"/>
      <c r="AM68" s="190"/>
      <c r="BE68" s="191"/>
      <c r="BF68" s="191"/>
      <c r="BG68" s="192"/>
      <c r="BH68" s="192"/>
    </row>
    <row r="69" spans="1:60" ht="18" customHeight="1" x14ac:dyDescent="0.25">
      <c r="C69" s="164"/>
      <c r="J69" s="390"/>
      <c r="K69" s="390"/>
      <c r="L69" s="390"/>
      <c r="M69" s="390"/>
      <c r="N69" s="390"/>
      <c r="O69" s="391"/>
      <c r="P69" s="394"/>
      <c r="Q69" s="395"/>
      <c r="R69" s="340"/>
      <c r="S69" s="341"/>
      <c r="U69" s="340"/>
      <c r="V69" s="341"/>
      <c r="X69" s="340"/>
      <c r="Y69" s="341"/>
      <c r="Z69" s="193"/>
      <c r="AA69" s="164"/>
      <c r="AD69" s="189"/>
      <c r="AE69" s="340"/>
      <c r="AF69" s="341"/>
      <c r="AG69" s="182"/>
      <c r="AH69" s="340"/>
      <c r="AI69" s="341"/>
      <c r="AJ69" s="182"/>
      <c r="AK69" s="340"/>
      <c r="AL69" s="341"/>
      <c r="AM69" s="190"/>
      <c r="BE69" s="191"/>
      <c r="BF69" s="191"/>
      <c r="BG69" s="192"/>
      <c r="BH69" s="192"/>
    </row>
    <row r="70" spans="1:60" x14ac:dyDescent="0.25">
      <c r="C70" s="164"/>
      <c r="AA70" s="164"/>
      <c r="AD70" s="189"/>
      <c r="AE70" s="182"/>
      <c r="AF70" s="182"/>
      <c r="AG70" s="182"/>
      <c r="AH70" s="182"/>
      <c r="AI70" s="182"/>
      <c r="AJ70" s="182"/>
      <c r="AK70" s="182"/>
      <c r="AL70" s="182"/>
      <c r="AM70" s="190"/>
      <c r="BE70" s="191"/>
      <c r="BF70" s="191"/>
      <c r="BG70" s="192"/>
      <c r="BH70" s="192"/>
    </row>
    <row r="71" spans="1:60" s="163" customFormat="1" ht="8.25" customHeight="1" thickBot="1" x14ac:dyDescent="0.3"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D71" s="194"/>
      <c r="AE71" s="195"/>
      <c r="AF71" s="195"/>
      <c r="AG71" s="195"/>
      <c r="AH71" s="195"/>
      <c r="AI71" s="195"/>
      <c r="AJ71" s="195"/>
      <c r="AK71" s="195"/>
      <c r="AL71" s="195"/>
      <c r="AM71" s="196"/>
    </row>
    <row r="73" spans="1:60" ht="15.75" thickBot="1" x14ac:dyDescent="0.3"/>
    <row r="74" spans="1:60" ht="15" customHeight="1" x14ac:dyDescent="0.25">
      <c r="E74" s="186"/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8"/>
    </row>
    <row r="75" spans="1:60" ht="46.5" x14ac:dyDescent="0.25">
      <c r="E75" s="189"/>
      <c r="F75" s="182"/>
      <c r="G75" s="197" t="s">
        <v>213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90"/>
    </row>
    <row r="76" spans="1:60" ht="26.25" x14ac:dyDescent="0.25">
      <c r="A76" s="165"/>
      <c r="B76" s="182"/>
      <c r="C76" s="182"/>
      <c r="D76" s="182"/>
      <c r="E76" s="189"/>
      <c r="F76" s="182"/>
      <c r="G76" s="198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90"/>
      <c r="AA76" s="165"/>
    </row>
    <row r="77" spans="1:60" ht="21" x14ac:dyDescent="0.25">
      <c r="A77" s="165"/>
      <c r="B77" s="182"/>
      <c r="C77" s="182"/>
      <c r="D77" s="182"/>
      <c r="E77" s="189"/>
      <c r="F77" s="182"/>
      <c r="G77" s="389" t="s">
        <v>215</v>
      </c>
      <c r="H77" s="389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90"/>
      <c r="AA77" s="165"/>
    </row>
    <row r="78" spans="1:60" ht="8.25" customHeight="1" x14ac:dyDescent="0.25">
      <c r="A78" s="165"/>
      <c r="B78" s="182"/>
      <c r="C78" s="182"/>
      <c r="D78" s="182"/>
      <c r="E78" s="189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90"/>
      <c r="AA78" s="165"/>
    </row>
    <row r="79" spans="1:60" ht="26.25" x14ac:dyDescent="0.25">
      <c r="A79" s="165"/>
      <c r="B79" s="182"/>
      <c r="C79" s="182"/>
      <c r="E79" s="189"/>
      <c r="F79" s="182"/>
      <c r="G79" s="198" t="s">
        <v>214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90"/>
      <c r="AA79" s="165"/>
    </row>
    <row r="80" spans="1:60" ht="26.25" x14ac:dyDescent="0.25">
      <c r="A80" s="165"/>
      <c r="B80" s="182"/>
      <c r="C80" s="182"/>
      <c r="E80" s="189"/>
      <c r="F80" s="182"/>
      <c r="G80" s="198" t="s">
        <v>0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90"/>
      <c r="AA80" s="165"/>
    </row>
    <row r="81" spans="1:63" ht="26.25" x14ac:dyDescent="0.25">
      <c r="A81" s="165"/>
      <c r="B81" s="182"/>
      <c r="C81" s="182"/>
      <c r="E81" s="189"/>
      <c r="F81" s="182"/>
      <c r="G81" s="198" t="s">
        <v>1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90"/>
      <c r="AA81" s="165"/>
    </row>
    <row r="82" spans="1:63" ht="26.25" x14ac:dyDescent="0.25">
      <c r="A82" s="165"/>
      <c r="B82" s="182"/>
      <c r="C82" s="182"/>
      <c r="E82" s="189"/>
      <c r="F82" s="182"/>
      <c r="G82" s="198" t="s">
        <v>5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90"/>
      <c r="AA82" s="165"/>
    </row>
    <row r="83" spans="1:63" ht="26.25" x14ac:dyDescent="0.25">
      <c r="A83" s="165"/>
      <c r="B83" s="182"/>
      <c r="C83" s="182"/>
      <c r="E83" s="189"/>
      <c r="F83" s="182"/>
      <c r="G83" s="198" t="s">
        <v>2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90"/>
      <c r="AA83" s="165"/>
    </row>
    <row r="84" spans="1:63" ht="26.25" x14ac:dyDescent="0.25">
      <c r="A84" s="165"/>
      <c r="B84" s="182"/>
      <c r="C84" s="182"/>
      <c r="E84" s="189"/>
      <c r="F84" s="182"/>
      <c r="G84" s="198" t="s">
        <v>3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90"/>
      <c r="AA84" s="165"/>
    </row>
    <row r="85" spans="1:63" ht="26.25" x14ac:dyDescent="0.25">
      <c r="A85" s="165"/>
      <c r="B85" s="182"/>
      <c r="C85" s="182"/>
      <c r="E85" s="189"/>
      <c r="F85" s="182"/>
      <c r="G85" s="198" t="s">
        <v>4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90"/>
      <c r="AA85" s="165"/>
    </row>
    <row r="86" spans="1:63" ht="26.25" x14ac:dyDescent="0.25">
      <c r="A86" s="165"/>
      <c r="B86" s="182"/>
      <c r="C86" s="182"/>
      <c r="E86" s="189"/>
      <c r="F86" s="182"/>
      <c r="G86" s="198" t="s">
        <v>6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90"/>
      <c r="AA86" s="165"/>
    </row>
    <row r="87" spans="1:63" x14ac:dyDescent="0.25">
      <c r="A87" s="165"/>
      <c r="B87" s="182"/>
      <c r="C87" s="182"/>
      <c r="E87" s="189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90"/>
      <c r="AA87" s="165"/>
    </row>
    <row r="88" spans="1:63" ht="15.75" thickBot="1" x14ac:dyDescent="0.3">
      <c r="A88" s="165"/>
      <c r="B88" s="182"/>
      <c r="C88" s="182"/>
      <c r="D88" s="182"/>
      <c r="E88" s="199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1"/>
      <c r="AA88" s="165"/>
    </row>
    <row r="89" spans="1:63" ht="15" customHeight="1" x14ac:dyDescent="0.25"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B89" s="163"/>
      <c r="AC89" s="163"/>
      <c r="AD89" s="163"/>
      <c r="AE89" s="163"/>
      <c r="AF89" s="163"/>
      <c r="AG89" s="163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3"/>
      <c r="BA89" s="163"/>
      <c r="BB89" s="163"/>
      <c r="BC89" s="163"/>
      <c r="BD89" s="163"/>
      <c r="BE89" s="163"/>
      <c r="BF89" s="163"/>
      <c r="BG89" s="163"/>
      <c r="BH89" s="163"/>
      <c r="BI89" s="163"/>
      <c r="BJ89" s="163"/>
      <c r="BK89" s="163"/>
    </row>
    <row r="90" spans="1:63" ht="15" customHeight="1" x14ac:dyDescent="0.25"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  <c r="AB90" s="163"/>
      <c r="AC90" s="163"/>
      <c r="AD90" s="163"/>
      <c r="AE90" s="163"/>
      <c r="AF90" s="163"/>
      <c r="AG90" s="163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3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63"/>
      <c r="BE90" s="163"/>
      <c r="BF90" s="163"/>
      <c r="BG90" s="163"/>
      <c r="BH90" s="163"/>
      <c r="BI90" s="163"/>
      <c r="BJ90" s="163"/>
      <c r="BK90" s="163"/>
    </row>
    <row r="91" spans="1:63" ht="15" hidden="1" customHeight="1" x14ac:dyDescent="0.25"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  <c r="AB91" s="163"/>
      <c r="AC91" s="163"/>
      <c r="AD91" s="163"/>
      <c r="AE91" s="163"/>
      <c r="AF91" s="163"/>
      <c r="AG91" s="163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3"/>
      <c r="BA91" s="163"/>
      <c r="BB91" s="163"/>
      <c r="BC91" s="163"/>
      <c r="BD91" s="163"/>
      <c r="BE91" s="163"/>
      <c r="BF91" s="163"/>
      <c r="BG91" s="163"/>
      <c r="BH91" s="163"/>
      <c r="BI91" s="163"/>
      <c r="BJ91" s="163"/>
      <c r="BK91" s="163"/>
    </row>
    <row r="92" spans="1:63" ht="15" hidden="1" customHeight="1" x14ac:dyDescent="0.25"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B92" s="163"/>
      <c r="AC92" s="163"/>
      <c r="AD92" s="163"/>
      <c r="AE92" s="163"/>
      <c r="AF92" s="163"/>
      <c r="AG92" s="163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  <c r="BA92" s="163"/>
      <c r="BB92" s="163"/>
      <c r="BC92" s="163"/>
      <c r="BD92" s="163"/>
      <c r="BE92" s="163"/>
      <c r="BF92" s="163"/>
      <c r="BG92" s="163"/>
      <c r="BH92" s="163"/>
      <c r="BI92" s="163"/>
      <c r="BJ92" s="163"/>
      <c r="BK92" s="163"/>
    </row>
    <row r="93" spans="1:63" ht="15" hidden="1" customHeight="1" x14ac:dyDescent="0.25"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  <c r="BA93" s="163"/>
      <c r="BB93" s="163"/>
      <c r="BC93" s="163"/>
      <c r="BD93" s="163"/>
      <c r="BE93" s="163"/>
      <c r="BF93" s="163"/>
      <c r="BG93" s="163"/>
      <c r="BH93" s="163"/>
      <c r="BI93" s="163"/>
      <c r="BJ93" s="163"/>
      <c r="BK93" s="163"/>
    </row>
    <row r="94" spans="1:63" ht="15" hidden="1" customHeight="1" x14ac:dyDescent="0.25"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  <c r="AB94" s="163"/>
      <c r="AC94" s="163"/>
      <c r="AD94" s="163"/>
      <c r="AE94" s="163"/>
      <c r="AF94" s="163"/>
      <c r="AG94" s="163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3"/>
      <c r="AT94" s="163"/>
      <c r="AU94" s="163"/>
      <c r="AV94" s="163"/>
      <c r="AW94" s="163"/>
      <c r="AX94" s="163"/>
      <c r="AY94" s="163"/>
      <c r="AZ94" s="163"/>
      <c r="BA94" s="163"/>
      <c r="BB94" s="163"/>
      <c r="BC94" s="163"/>
      <c r="BD94" s="163"/>
      <c r="BE94" s="163"/>
      <c r="BF94" s="163"/>
      <c r="BG94" s="163"/>
      <c r="BH94" s="163"/>
      <c r="BI94" s="163"/>
      <c r="BJ94" s="163"/>
      <c r="BK94" s="163"/>
    </row>
    <row r="95" spans="1:63" ht="15" hidden="1" customHeight="1" x14ac:dyDescent="0.25"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3"/>
      <c r="BA95" s="163"/>
      <c r="BB95" s="163"/>
      <c r="BC95" s="163"/>
      <c r="BD95" s="163"/>
      <c r="BE95" s="163"/>
      <c r="BF95" s="163"/>
      <c r="BG95" s="163"/>
      <c r="BH95" s="163"/>
      <c r="BI95" s="163"/>
      <c r="BJ95" s="163"/>
      <c r="BK95" s="163"/>
    </row>
    <row r="96" spans="1:63" ht="15" hidden="1" customHeight="1" x14ac:dyDescent="0.25">
      <c r="D96" s="163"/>
      <c r="E96" s="163" t="s">
        <v>301</v>
      </c>
      <c r="F96" s="163"/>
      <c r="G96" s="163"/>
      <c r="H96" s="163"/>
      <c r="I96" s="163"/>
      <c r="J96" s="163" t="s">
        <v>301</v>
      </c>
      <c r="K96" s="163"/>
      <c r="L96" s="163"/>
      <c r="M96" s="163"/>
      <c r="N96" s="163"/>
      <c r="O96" s="163" t="s">
        <v>301</v>
      </c>
      <c r="P96" s="163"/>
      <c r="Q96" s="163"/>
      <c r="R96" s="163"/>
      <c r="S96" s="163"/>
      <c r="T96" s="163"/>
      <c r="U96" s="163" t="s">
        <v>301</v>
      </c>
      <c r="V96" s="163"/>
      <c r="W96" s="163"/>
      <c r="X96" s="163"/>
      <c r="Y96" s="163"/>
      <c r="Z96" s="163"/>
      <c r="AB96" s="163"/>
      <c r="AC96" s="163"/>
      <c r="AD96" s="163"/>
      <c r="AE96" s="163"/>
      <c r="AF96" s="163"/>
      <c r="AG96" s="163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3"/>
      <c r="AT96" s="163"/>
      <c r="AU96" s="163"/>
      <c r="AV96" s="163"/>
      <c r="AW96" s="163"/>
      <c r="AX96" s="163"/>
      <c r="AY96" s="163"/>
      <c r="AZ96" s="163"/>
      <c r="BA96" s="163"/>
      <c r="BB96" s="163"/>
      <c r="BC96" s="163"/>
      <c r="BD96" s="163"/>
      <c r="BE96" s="163"/>
      <c r="BF96" s="163"/>
      <c r="BG96" s="163"/>
      <c r="BH96" s="163"/>
      <c r="BI96" s="163"/>
      <c r="BJ96" s="163"/>
      <c r="BK96" s="163"/>
    </row>
    <row r="97" spans="3:63" ht="15" hidden="1" customHeight="1" x14ac:dyDescent="0.25">
      <c r="D97" s="163"/>
      <c r="E97" s="165" t="s">
        <v>302</v>
      </c>
      <c r="F97" s="163"/>
      <c r="G97" s="163"/>
      <c r="H97" s="163"/>
      <c r="I97" s="163"/>
      <c r="J97" s="165" t="s">
        <v>302</v>
      </c>
      <c r="K97" s="163"/>
      <c r="L97" s="163"/>
      <c r="M97" s="163"/>
      <c r="N97" s="163"/>
      <c r="O97" s="165" t="s">
        <v>302</v>
      </c>
      <c r="P97" s="163"/>
      <c r="Q97" s="163"/>
      <c r="R97" s="163"/>
      <c r="S97" s="163"/>
      <c r="T97" s="163"/>
      <c r="U97" s="165" t="s">
        <v>302</v>
      </c>
      <c r="V97" s="163"/>
      <c r="W97" s="163"/>
      <c r="X97" s="163"/>
      <c r="Y97" s="163"/>
      <c r="Z97" s="163"/>
      <c r="AB97" s="163"/>
      <c r="AC97" s="163"/>
      <c r="AD97" s="163"/>
      <c r="AE97" s="163"/>
      <c r="AF97" s="163"/>
      <c r="AG97" s="163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3"/>
      <c r="BA97" s="163"/>
      <c r="BB97" s="163"/>
      <c r="BC97" s="163"/>
      <c r="BD97" s="163"/>
      <c r="BE97" s="163"/>
      <c r="BF97" s="163"/>
      <c r="BG97" s="163"/>
      <c r="BH97" s="163"/>
      <c r="BI97" s="163"/>
      <c r="BJ97" s="163"/>
      <c r="BK97" s="163"/>
    </row>
    <row r="98" spans="3:63" ht="15" hidden="1" customHeight="1" x14ac:dyDescent="0.25">
      <c r="D98" s="163"/>
      <c r="E98" s="202" t="s">
        <v>303</v>
      </c>
      <c r="F98" s="202"/>
      <c r="G98" s="202"/>
      <c r="H98" s="163"/>
      <c r="I98" s="163"/>
      <c r="J98" s="203" t="s">
        <v>210</v>
      </c>
      <c r="K98" s="203"/>
      <c r="L98" s="203"/>
      <c r="M98" s="163"/>
      <c r="N98" s="163"/>
      <c r="O98" s="204" t="s">
        <v>304</v>
      </c>
      <c r="P98" s="204"/>
      <c r="Q98" s="204"/>
      <c r="R98" s="163"/>
      <c r="S98" s="163"/>
      <c r="T98" s="163"/>
      <c r="U98" s="205" t="s">
        <v>212</v>
      </c>
      <c r="V98" s="205"/>
      <c r="W98" s="205"/>
      <c r="X98" s="163"/>
      <c r="Y98" s="163"/>
      <c r="Z98" s="163"/>
      <c r="AB98" s="163"/>
      <c r="AC98" s="163"/>
      <c r="AD98" s="163"/>
      <c r="AE98" s="163"/>
      <c r="AF98" s="163"/>
      <c r="AG98" s="163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3"/>
      <c r="AT98" s="163"/>
      <c r="AU98" s="163"/>
      <c r="AV98" s="163"/>
      <c r="AW98" s="163"/>
      <c r="AX98" s="163"/>
      <c r="AY98" s="163"/>
      <c r="AZ98" s="163"/>
      <c r="BA98" s="163"/>
      <c r="BB98" s="163"/>
      <c r="BC98" s="163"/>
      <c r="BD98" s="163"/>
      <c r="BE98" s="163"/>
      <c r="BF98" s="163"/>
      <c r="BG98" s="163"/>
      <c r="BH98" s="163"/>
      <c r="BI98" s="163"/>
      <c r="BJ98" s="163"/>
      <c r="BK98" s="163"/>
    </row>
    <row r="99" spans="3:63" ht="7.5" hidden="1" customHeight="1" x14ac:dyDescent="0.25"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</row>
    <row r="100" spans="3:63" ht="15" hidden="1" customHeight="1" x14ac:dyDescent="0.25">
      <c r="C100" s="164"/>
      <c r="AA100" s="164"/>
    </row>
    <row r="101" spans="3:63" ht="15" hidden="1" customHeight="1" x14ac:dyDescent="0.25">
      <c r="C101" s="164"/>
      <c r="AA101" s="164"/>
    </row>
    <row r="102" spans="3:63" ht="15" hidden="1" customHeight="1" x14ac:dyDescent="0.25">
      <c r="C102" s="164"/>
      <c r="F102" s="206">
        <f>F48</f>
        <v>0</v>
      </c>
      <c r="G102" s="165" t="s">
        <v>200</v>
      </c>
      <c r="L102" s="207">
        <f>K48</f>
        <v>0</v>
      </c>
      <c r="M102" s="165" t="s">
        <v>200</v>
      </c>
      <c r="Q102" s="208">
        <f>P48</f>
        <v>0</v>
      </c>
      <c r="R102" s="165" t="s">
        <v>200</v>
      </c>
      <c r="V102" s="206">
        <f>U48</f>
        <v>0</v>
      </c>
      <c r="X102" s="165" t="s">
        <v>200</v>
      </c>
      <c r="AA102" s="164"/>
    </row>
    <row r="103" spans="3:63" ht="15.75" hidden="1" customHeight="1" thickBot="1" x14ac:dyDescent="0.3">
      <c r="C103" s="164"/>
      <c r="AA103" s="164"/>
    </row>
    <row r="104" spans="3:63" ht="29.25" hidden="1" customHeight="1" thickBot="1" x14ac:dyDescent="0.5">
      <c r="C104" s="164"/>
      <c r="E104" s="209">
        <f>IF(G105="NÃO","",(G105*1000)+F104)</f>
        <v>32034</v>
      </c>
      <c r="F104" s="210">
        <v>34</v>
      </c>
      <c r="G104" s="211">
        <v>32</v>
      </c>
      <c r="J104" s="209" t="str">
        <f>IF(K105&gt;0,"",(M105*1000)+K104)</f>
        <v/>
      </c>
      <c r="K104" s="210">
        <v>34</v>
      </c>
      <c r="L104" s="211">
        <v>25</v>
      </c>
      <c r="M104" s="211">
        <v>32</v>
      </c>
      <c r="O104" s="209" t="str">
        <f>IF(P105&gt;0,"",(R105*1000)+P104)</f>
        <v/>
      </c>
      <c r="P104" s="210">
        <v>34</v>
      </c>
      <c r="Q104" s="211">
        <v>14</v>
      </c>
      <c r="R104" s="211">
        <v>24</v>
      </c>
      <c r="U104" s="209">
        <f>IF(X105="NÃO","",(X105*1000)+V104)</f>
        <v>39034</v>
      </c>
      <c r="V104" s="210">
        <v>34</v>
      </c>
      <c r="X104" s="211">
        <v>39</v>
      </c>
      <c r="AA104" s="164"/>
    </row>
    <row r="105" spans="3:63" ht="15" hidden="1" customHeight="1" x14ac:dyDescent="0.25">
      <c r="C105" s="164"/>
      <c r="E105" s="212"/>
      <c r="G105" s="213">
        <f>IF($F$102&gt;G104,"NÃO",G104-$F$102)</f>
        <v>32</v>
      </c>
      <c r="K105" s="214">
        <f>COUNTIF(L105:M105,"NÃO")</f>
        <v>1</v>
      </c>
      <c r="L105" s="213" t="str">
        <f>IF($L$102&lt;L104,"NÃO",$L$102-L104)</f>
        <v>NÃO</v>
      </c>
      <c r="M105" s="213">
        <f>IF($L$102&lt;M104,M104-$L$102,"NÃO")</f>
        <v>32</v>
      </c>
      <c r="P105" s="214">
        <f>COUNTIF(Q105:R105,"NÃO")</f>
        <v>1</v>
      </c>
      <c r="Q105" s="213" t="str">
        <f>IF($Q$102&lt;Q104,"NÃO",$Q$102-Q104)</f>
        <v>NÃO</v>
      </c>
      <c r="R105" s="213">
        <f>IF($Q$102&gt;R104,"NÃO",R104-$Q$102)</f>
        <v>24</v>
      </c>
      <c r="U105" s="212"/>
      <c r="X105" s="213">
        <f>IF($V$102&gt;X104,"NÃO",X104-$V$102)</f>
        <v>39</v>
      </c>
      <c r="AA105" s="164"/>
    </row>
    <row r="106" spans="3:63" ht="16.5" hidden="1" customHeight="1" thickBot="1" x14ac:dyDescent="0.3">
      <c r="C106" s="164"/>
      <c r="E106" s="212"/>
      <c r="G106" s="211"/>
      <c r="L106" s="211"/>
      <c r="M106" s="211"/>
      <c r="Q106" s="211"/>
      <c r="R106" s="211"/>
      <c r="U106" s="212"/>
      <c r="X106" s="211"/>
      <c r="AA106" s="164"/>
    </row>
    <row r="107" spans="3:63" ht="29.25" hidden="1" customHeight="1" thickBot="1" x14ac:dyDescent="0.5">
      <c r="C107" s="164"/>
      <c r="E107" s="209">
        <f>IF(G108="NÃO","",(G108*1000)+F107)</f>
        <v>36036</v>
      </c>
      <c r="F107" s="210">
        <v>36</v>
      </c>
      <c r="G107" s="211">
        <v>36</v>
      </c>
      <c r="J107" s="209" t="str">
        <f>IF(K108&gt;0,"",(M108*1000)+K107)</f>
        <v/>
      </c>
      <c r="K107" s="210">
        <v>36</v>
      </c>
      <c r="L107" s="211">
        <v>25</v>
      </c>
      <c r="M107" s="211">
        <v>35</v>
      </c>
      <c r="O107" s="209" t="str">
        <f>IF(P108&gt;0,"",(R108*1000)+P107)</f>
        <v/>
      </c>
      <c r="P107" s="210">
        <v>36</v>
      </c>
      <c r="Q107" s="211">
        <v>14</v>
      </c>
      <c r="R107" s="211">
        <v>24</v>
      </c>
      <c r="U107" s="209">
        <f>IF(X108="NÃO","",(X108*1000)+V107)</f>
        <v>45036</v>
      </c>
      <c r="V107" s="210">
        <v>36</v>
      </c>
      <c r="X107" s="211">
        <v>45</v>
      </c>
      <c r="AA107" s="164"/>
    </row>
    <row r="108" spans="3:63" ht="15" hidden="1" customHeight="1" x14ac:dyDescent="0.25">
      <c r="C108" s="164"/>
      <c r="E108" s="212"/>
      <c r="G108" s="213">
        <f>IF($F$102&gt;G107,"NÃO",G107-$F$102)</f>
        <v>36</v>
      </c>
      <c r="K108" s="214">
        <f>COUNTIF(L108:M108,"NÃO")</f>
        <v>1</v>
      </c>
      <c r="L108" s="213" t="str">
        <f>IF($L$102&lt;L107,"NÃO",$L$102-L107)</f>
        <v>NÃO</v>
      </c>
      <c r="M108" s="213">
        <f>IF($L$102&lt;M107,M107-$L$102,"NÃO")</f>
        <v>35</v>
      </c>
      <c r="P108" s="214">
        <f>COUNTIF(Q108:R108,"NÃO")</f>
        <v>1</v>
      </c>
      <c r="Q108" s="213" t="str">
        <f>IF($Q$102&lt;Q107,"NÃO",$Q$102-Q107)</f>
        <v>NÃO</v>
      </c>
      <c r="R108" s="213">
        <f>IF($Q$102&gt;R107,"NÃO",R107-$Q$102)</f>
        <v>24</v>
      </c>
      <c r="U108" s="212"/>
      <c r="X108" s="213">
        <f>IF($V$102&gt;X107,"NÃO",X107-$V$102)</f>
        <v>45</v>
      </c>
      <c r="AA108" s="164"/>
    </row>
    <row r="109" spans="3:63" ht="16.5" hidden="1" customHeight="1" thickBot="1" x14ac:dyDescent="0.3">
      <c r="C109" s="164"/>
      <c r="E109" s="212"/>
      <c r="G109" s="211"/>
      <c r="L109" s="211"/>
      <c r="M109" s="211"/>
      <c r="Q109" s="211"/>
      <c r="R109" s="211"/>
      <c r="U109" s="212"/>
      <c r="X109" s="211"/>
      <c r="AA109" s="164"/>
    </row>
    <row r="110" spans="3:63" ht="29.25" hidden="1" customHeight="1" thickBot="1" x14ac:dyDescent="0.5">
      <c r="C110" s="164"/>
      <c r="E110" s="209">
        <f>IF(G111="NÃO","",(G111*1000)+F110)</f>
        <v>40040</v>
      </c>
      <c r="F110" s="210">
        <v>40</v>
      </c>
      <c r="G110" s="211">
        <v>40</v>
      </c>
      <c r="J110" s="209" t="str">
        <f>IF(K111&gt;0,"",(M111*1000)+K110)</f>
        <v/>
      </c>
      <c r="K110" s="210">
        <v>40</v>
      </c>
      <c r="L110" s="211">
        <v>30</v>
      </c>
      <c r="M110" s="211">
        <v>40</v>
      </c>
      <c r="O110" s="209" t="str">
        <f>IF(P111&gt;0,"",(R111*1000)+P110)</f>
        <v/>
      </c>
      <c r="P110" s="210">
        <v>40</v>
      </c>
      <c r="Q110" s="211">
        <v>20</v>
      </c>
      <c r="R110" s="211">
        <v>29</v>
      </c>
      <c r="U110" s="209">
        <f>IF(X111="NÃO","",(X111*1000)+V110)</f>
        <v>51040</v>
      </c>
      <c r="V110" s="210">
        <v>40</v>
      </c>
      <c r="X110" s="211">
        <v>51</v>
      </c>
      <c r="AA110" s="164"/>
    </row>
    <row r="111" spans="3:63" ht="15" hidden="1" customHeight="1" x14ac:dyDescent="0.25">
      <c r="C111" s="164"/>
      <c r="E111" s="212"/>
      <c r="G111" s="213">
        <f>IF($F$102&gt;G110,"NÃO",G110-$F$102)</f>
        <v>40</v>
      </c>
      <c r="K111" s="214">
        <f>COUNTIF(L111:M111,"NÃO")</f>
        <v>1</v>
      </c>
      <c r="L111" s="213" t="str">
        <f>IF($L$102&lt;L110,"NÃO",$L$102-L110)</f>
        <v>NÃO</v>
      </c>
      <c r="M111" s="213">
        <f>IF($L$102&lt;M110,M110-$L$102,"NÃO")</f>
        <v>40</v>
      </c>
      <c r="P111" s="214">
        <f>COUNTIF(Q111:R111,"NÃO")</f>
        <v>1</v>
      </c>
      <c r="Q111" s="213" t="str">
        <f>IF($Q$102&lt;Q110,"NÃO",$Q$102-Q110)</f>
        <v>NÃO</v>
      </c>
      <c r="R111" s="213">
        <f>IF($Q$102&gt;R110,"NÃO",R110-$Q$102)</f>
        <v>29</v>
      </c>
      <c r="U111" s="212"/>
      <c r="X111" s="213">
        <f>IF($V$102&gt;X110,"NÃO",X110-$V$102)</f>
        <v>51</v>
      </c>
      <c r="AA111" s="164"/>
    </row>
    <row r="112" spans="3:63" ht="16.5" hidden="1" customHeight="1" thickBot="1" x14ac:dyDescent="0.3">
      <c r="C112" s="164"/>
      <c r="E112" s="212"/>
      <c r="G112" s="211"/>
      <c r="L112" s="211"/>
      <c r="M112" s="211"/>
      <c r="Q112" s="211"/>
      <c r="R112" s="211"/>
      <c r="U112" s="212"/>
      <c r="X112" s="211"/>
      <c r="AA112" s="164"/>
    </row>
    <row r="113" spans="1:71" ht="29.25" hidden="1" customHeight="1" thickBot="1" x14ac:dyDescent="0.5">
      <c r="C113" s="164"/>
      <c r="E113" s="209">
        <f>IF(G114="NÃO","",(G114*1000)+F113)</f>
        <v>42044</v>
      </c>
      <c r="F113" s="210">
        <v>44</v>
      </c>
      <c r="G113" s="211">
        <v>42</v>
      </c>
      <c r="J113" s="209" t="str">
        <f>IF(K114&gt;0,"",(M114*1000)+K113)</f>
        <v/>
      </c>
      <c r="K113" s="210">
        <v>44</v>
      </c>
      <c r="L113" s="211">
        <v>30</v>
      </c>
      <c r="M113" s="211">
        <v>49</v>
      </c>
      <c r="O113" s="209" t="str">
        <f>IF(P114&gt;0,"",(R114*1000)+P113)</f>
        <v/>
      </c>
      <c r="P113" s="210">
        <v>44</v>
      </c>
      <c r="Q113" s="211">
        <v>21</v>
      </c>
      <c r="R113" s="211">
        <v>33</v>
      </c>
      <c r="U113" s="209">
        <f>IF(X114="NÃO","",(X114*1000)+V113)</f>
        <v>56044</v>
      </c>
      <c r="V113" s="210">
        <v>44</v>
      </c>
      <c r="X113" s="211">
        <v>56</v>
      </c>
      <c r="AA113" s="164"/>
    </row>
    <row r="114" spans="1:71" ht="15" hidden="1" customHeight="1" x14ac:dyDescent="0.25">
      <c r="C114" s="164"/>
      <c r="G114" s="213">
        <f>IF($F$102&gt;G113,"NÃO",G113-$F$102)</f>
        <v>42</v>
      </c>
      <c r="K114" s="214">
        <f>COUNTIF(L114:M114,"NÃO")</f>
        <v>1</v>
      </c>
      <c r="L114" s="213" t="str">
        <f>IF($L$102&lt;L113,"NÃO",$L$102-L113)</f>
        <v>NÃO</v>
      </c>
      <c r="M114" s="213">
        <f>IF($L$102&lt;M113,M113-$L$102,"NÃO")</f>
        <v>49</v>
      </c>
      <c r="P114" s="214">
        <f>COUNTIF(Q114:R114,"NÃO")</f>
        <v>1</v>
      </c>
      <c r="Q114" s="213" t="str">
        <f>IF($Q$102&lt;Q113,"NÃO",$Q$102-Q113)</f>
        <v>NÃO</v>
      </c>
      <c r="R114" s="213">
        <f>IF($Q$102&gt;R113,"NÃO",R113-$Q$102)</f>
        <v>33</v>
      </c>
      <c r="X114" s="213">
        <f>IF($V$102&gt;X113,"NÃO",X113-$V$102)</f>
        <v>56</v>
      </c>
      <c r="AA114" s="164"/>
    </row>
    <row r="115" spans="1:71" ht="16.5" hidden="1" customHeight="1" thickBot="1" x14ac:dyDescent="0.3">
      <c r="C115" s="164"/>
      <c r="E115" s="212"/>
      <c r="G115" s="211"/>
      <c r="L115" s="211"/>
      <c r="M115" s="211"/>
      <c r="Q115" s="211"/>
      <c r="R115" s="211"/>
      <c r="U115" s="212"/>
      <c r="X115" s="211"/>
      <c r="AA115" s="164"/>
    </row>
    <row r="116" spans="1:71" ht="29.25" hidden="1" customHeight="1" thickBot="1" x14ac:dyDescent="0.5">
      <c r="C116" s="164"/>
      <c r="E116" s="209">
        <f>IF(G117="NÃO","",(G117*1000)+F116)</f>
        <v>44046</v>
      </c>
      <c r="F116" s="210">
        <v>46</v>
      </c>
      <c r="G116" s="215">
        <v>44</v>
      </c>
      <c r="J116" s="209" t="str">
        <f>IF(K117&gt;0,"",(M117*1000)+K116)</f>
        <v/>
      </c>
      <c r="K116" s="210">
        <v>46</v>
      </c>
      <c r="L116" s="211">
        <v>30</v>
      </c>
      <c r="M116" s="211">
        <v>49</v>
      </c>
      <c r="O116" s="209" t="str">
        <f>IF(P117&gt;0,"",(R117*1000)+P116)</f>
        <v/>
      </c>
      <c r="P116" s="210">
        <v>46</v>
      </c>
      <c r="Q116" s="211">
        <v>23</v>
      </c>
      <c r="R116" s="211">
        <v>35</v>
      </c>
      <c r="U116" s="209">
        <f>IF(X117="NÃO","",(X117*1000)+V116)</f>
        <v>56046</v>
      </c>
      <c r="V116" s="210">
        <v>46</v>
      </c>
      <c r="X116" s="211">
        <v>56</v>
      </c>
      <c r="AA116" s="164"/>
    </row>
    <row r="117" spans="1:71" ht="15" hidden="1" customHeight="1" x14ac:dyDescent="0.25">
      <c r="C117" s="164"/>
      <c r="G117" s="213">
        <f>IF($F$102&gt;G116,"NÃO",G116-$F$102)</f>
        <v>44</v>
      </c>
      <c r="K117" s="214">
        <f>COUNTIF(L117:M117,"NÃO")</f>
        <v>1</v>
      </c>
      <c r="L117" s="213" t="str">
        <f>IF($L$102&lt;L116,"NÃO",$L$102-L116)</f>
        <v>NÃO</v>
      </c>
      <c r="M117" s="213">
        <f>IF($L$102&lt;M116,M116-$L$102,"NÃO")</f>
        <v>49</v>
      </c>
      <c r="P117" s="214">
        <f>COUNTIF(Q117:R117,"NÃO")</f>
        <v>1</v>
      </c>
      <c r="Q117" s="213" t="str">
        <f>IF($Q$102&lt;Q116,"NÃO",$Q$102-Q116)</f>
        <v>NÃO</v>
      </c>
      <c r="R117" s="213">
        <f>IF($Q$102&gt;R116,"NÃO",R116-$Q$102)</f>
        <v>35</v>
      </c>
      <c r="X117" s="213">
        <f>IF($V$102&gt;X116,"NÃO",X116-$V$102)</f>
        <v>56</v>
      </c>
      <c r="AA117" s="164"/>
    </row>
    <row r="118" spans="1:71" ht="15" hidden="1" customHeight="1" x14ac:dyDescent="0.25">
      <c r="C118" s="164"/>
      <c r="AA118" s="164"/>
    </row>
    <row r="119" spans="1:71" ht="15" hidden="1" customHeight="1" x14ac:dyDescent="0.25">
      <c r="C119" s="164"/>
      <c r="AA119" s="164"/>
    </row>
    <row r="120" spans="1:71" s="164" customFormat="1" ht="9.75" hidden="1" customHeight="1" x14ac:dyDescent="0.25">
      <c r="A120" s="163"/>
      <c r="B120" s="163"/>
    </row>
    <row r="121" spans="1:71" ht="15" hidden="1" customHeight="1" x14ac:dyDescent="0.25">
      <c r="C121" s="164"/>
    </row>
    <row r="122" spans="1:71" ht="18.75" hidden="1" customHeight="1" x14ac:dyDescent="0.45">
      <c r="C122" s="164"/>
      <c r="E122" s="216">
        <f>E104</f>
        <v>32034</v>
      </c>
      <c r="F122" s="217">
        <f>G105</f>
        <v>32</v>
      </c>
      <c r="J122" s="216" t="str">
        <f>J104</f>
        <v/>
      </c>
      <c r="K122" s="217" t="str">
        <f>L105</f>
        <v>NÃO</v>
      </c>
      <c r="L122" s="217">
        <f>M105</f>
        <v>32</v>
      </c>
      <c r="O122" s="216" t="str">
        <f>O104</f>
        <v/>
      </c>
      <c r="P122" s="217" t="str">
        <f>Q105</f>
        <v>NÃO</v>
      </c>
      <c r="Q122" s="217">
        <f>R105</f>
        <v>24</v>
      </c>
      <c r="U122" s="216">
        <f>U104</f>
        <v>39034</v>
      </c>
      <c r="V122" s="217">
        <f>X105</f>
        <v>39</v>
      </c>
      <c r="X122" s="210">
        <v>34</v>
      </c>
      <c r="BO122" s="218">
        <v>1</v>
      </c>
      <c r="BP122" s="218">
        <v>2</v>
      </c>
      <c r="BQ122" s="218">
        <v>3</v>
      </c>
      <c r="BR122" s="218">
        <v>4</v>
      </c>
      <c r="BS122" s="218">
        <v>5</v>
      </c>
    </row>
    <row r="123" spans="1:71" ht="18.75" hidden="1" customHeight="1" x14ac:dyDescent="0.45">
      <c r="C123" s="164"/>
      <c r="E123" s="216">
        <f>E107</f>
        <v>36036</v>
      </c>
      <c r="F123" s="217">
        <f>G108</f>
        <v>36</v>
      </c>
      <c r="J123" s="216" t="str">
        <f>J107</f>
        <v/>
      </c>
      <c r="K123" s="217" t="str">
        <f>L108</f>
        <v>NÃO</v>
      </c>
      <c r="L123" s="217">
        <f>M108</f>
        <v>35</v>
      </c>
      <c r="O123" s="216" t="str">
        <f>O107</f>
        <v/>
      </c>
      <c r="P123" s="217" t="str">
        <f>Q108</f>
        <v>NÃO</v>
      </c>
      <c r="Q123" s="217">
        <f>R108</f>
        <v>24</v>
      </c>
      <c r="U123" s="216">
        <f>U107</f>
        <v>45036</v>
      </c>
      <c r="V123" s="217">
        <f>X108</f>
        <v>45</v>
      </c>
      <c r="X123" s="210">
        <v>36</v>
      </c>
      <c r="BO123" s="348"/>
      <c r="BP123" s="348" t="s">
        <v>209</v>
      </c>
      <c r="BQ123" s="348" t="s">
        <v>210</v>
      </c>
      <c r="BR123" s="348" t="s">
        <v>211</v>
      </c>
      <c r="BS123" s="348" t="s">
        <v>212</v>
      </c>
    </row>
    <row r="124" spans="1:71" ht="18.75" hidden="1" customHeight="1" x14ac:dyDescent="0.45">
      <c r="C124" s="164"/>
      <c r="E124" s="216">
        <f>E110</f>
        <v>40040</v>
      </c>
      <c r="F124" s="217">
        <f>G111</f>
        <v>40</v>
      </c>
      <c r="J124" s="216" t="str">
        <f>J110</f>
        <v/>
      </c>
      <c r="K124" s="217" t="str">
        <f>L111</f>
        <v>NÃO</v>
      </c>
      <c r="L124" s="217">
        <f>M111</f>
        <v>40</v>
      </c>
      <c r="O124" s="216" t="str">
        <f>O110</f>
        <v/>
      </c>
      <c r="P124" s="217" t="str">
        <f>Q111</f>
        <v>NÃO</v>
      </c>
      <c r="Q124" s="217">
        <f>R111</f>
        <v>29</v>
      </c>
      <c r="U124" s="216">
        <f>U110</f>
        <v>51040</v>
      </c>
      <c r="V124" s="217">
        <f>X111</f>
        <v>51</v>
      </c>
      <c r="X124" s="210">
        <v>40</v>
      </c>
      <c r="BO124" s="348"/>
      <c r="BP124" s="348"/>
      <c r="BQ124" s="348"/>
      <c r="BR124" s="348"/>
      <c r="BS124" s="348"/>
    </row>
    <row r="125" spans="1:71" ht="18.75" hidden="1" customHeight="1" x14ac:dyDescent="0.45">
      <c r="C125" s="164"/>
      <c r="E125" s="216">
        <f>E113</f>
        <v>42044</v>
      </c>
      <c r="F125" s="217">
        <f>G114</f>
        <v>42</v>
      </c>
      <c r="J125" s="216" t="str">
        <f>J113</f>
        <v/>
      </c>
      <c r="K125" s="217" t="str">
        <f>L114</f>
        <v>NÃO</v>
      </c>
      <c r="L125" s="217">
        <f>M114</f>
        <v>49</v>
      </c>
      <c r="O125" s="216" t="str">
        <f>O113</f>
        <v/>
      </c>
      <c r="P125" s="217" t="str">
        <f>Q114</f>
        <v>NÃO</v>
      </c>
      <c r="Q125" s="217">
        <f>R114</f>
        <v>33</v>
      </c>
      <c r="U125" s="216">
        <f>U113</f>
        <v>56044</v>
      </c>
      <c r="V125" s="217">
        <f>X114</f>
        <v>56</v>
      </c>
      <c r="X125" s="210">
        <v>44</v>
      </c>
      <c r="BO125" s="348"/>
      <c r="BP125" s="348"/>
      <c r="BQ125" s="348"/>
      <c r="BR125" s="348"/>
      <c r="BS125" s="348"/>
    </row>
    <row r="126" spans="1:71" ht="18.75" hidden="1" customHeight="1" x14ac:dyDescent="0.45">
      <c r="C126" s="164"/>
      <c r="E126" s="216">
        <f>E116</f>
        <v>44046</v>
      </c>
      <c r="F126" s="217">
        <f>G117</f>
        <v>44</v>
      </c>
      <c r="J126" s="216" t="str">
        <f>J116</f>
        <v/>
      </c>
      <c r="K126" s="217" t="str">
        <f>L117</f>
        <v>NÃO</v>
      </c>
      <c r="L126" s="217">
        <f>M117</f>
        <v>49</v>
      </c>
      <c r="O126" s="216" t="str">
        <f>O116</f>
        <v/>
      </c>
      <c r="P126" s="217" t="str">
        <f>Q117</f>
        <v>NÃO</v>
      </c>
      <c r="Q126" s="217">
        <f>R117</f>
        <v>35</v>
      </c>
      <c r="U126" s="216">
        <f>U116</f>
        <v>56046</v>
      </c>
      <c r="V126" s="217">
        <f>X117</f>
        <v>56</v>
      </c>
      <c r="X126" s="210">
        <v>46</v>
      </c>
      <c r="BO126" s="348"/>
      <c r="BP126" s="348"/>
      <c r="BQ126" s="348"/>
      <c r="BR126" s="348"/>
      <c r="BS126" s="348"/>
    </row>
    <row r="127" spans="1:71" ht="15" hidden="1" customHeight="1" x14ac:dyDescent="0.25">
      <c r="C127" s="164"/>
      <c r="BO127" s="348"/>
      <c r="BP127" s="348"/>
      <c r="BQ127" s="348"/>
      <c r="BR127" s="348"/>
      <c r="BS127" s="348"/>
    </row>
    <row r="128" spans="1:71" ht="15" hidden="1" customHeight="1" x14ac:dyDescent="0.25">
      <c r="C128" s="164"/>
      <c r="BO128" s="348"/>
      <c r="BP128" s="348"/>
      <c r="BQ128" s="348"/>
      <c r="BR128" s="348"/>
      <c r="BS128" s="348"/>
    </row>
    <row r="129" spans="3:88" ht="28.5" hidden="1" customHeight="1" x14ac:dyDescent="0.45">
      <c r="C129" s="164"/>
      <c r="E129" s="179">
        <f>LARGE($E$104:$E$116,$BG129)</f>
        <v>44046</v>
      </c>
      <c r="F129" s="210">
        <f>IF(ISERROR(E129)=TRUE,"",VLOOKUP(E129,$E$104:$F$116,2,FALSE))</f>
        <v>46</v>
      </c>
      <c r="G129" s="213">
        <f>IF(F129="","",VLOOKUP(E129,$E$122:$F$126,2,FALSE))</f>
        <v>44</v>
      </c>
      <c r="J129" s="179" t="e">
        <f>LARGE($J$104:$J$116,$BG129)</f>
        <v>#NUM!</v>
      </c>
      <c r="K129" s="210" t="str">
        <f>IF(ISERROR(J129)=TRUE,"",VLOOKUP(J129,$J$104:$K$117,2,FALSE))</f>
        <v/>
      </c>
      <c r="L129" s="213" t="str">
        <f>IF(K129="","",VLOOKUP(J129,$J$122:$L$126,2,FALSE))</f>
        <v/>
      </c>
      <c r="M129" s="213" t="str">
        <f>IF(K129="","",VLOOKUP(J129,$J$122:$L$126,3,FALSE))</f>
        <v/>
      </c>
      <c r="O129" s="179" t="e">
        <f>LARGE($O$104:$O$116,$BG129)</f>
        <v>#NUM!</v>
      </c>
      <c r="P129" s="210" t="str">
        <f>IF(ISERROR(O129)=TRUE,"",VLOOKUP(O129,$O$104:$P$117,2,FALSE))</f>
        <v/>
      </c>
      <c r="Q129" s="213" t="str">
        <f>IF(P129="","",VLOOKUP(O129,$O$122:$Q$126,2,FALSE))</f>
        <v/>
      </c>
      <c r="R129" s="213" t="str">
        <f>IF(P129="","",VLOOKUP(O129,$O$122:$Q$126,3,FALSE))</f>
        <v/>
      </c>
      <c r="U129" s="179">
        <f>LARGE($U$104:$U$116,$BG129)</f>
        <v>56046</v>
      </c>
      <c r="V129" s="210">
        <f>IF(ISERROR(U129)=TRUE,"",VLOOKUP(U129,$U$104:$V$117,2,FALSE))</f>
        <v>46</v>
      </c>
      <c r="W129" s="213">
        <f>IF(V129="","",VLOOKUP(U129,$U$122:$V$126,2,FALSE))</f>
        <v>56</v>
      </c>
      <c r="BG129" s="219">
        <v>1</v>
      </c>
      <c r="BO129" s="180">
        <v>34</v>
      </c>
      <c r="BP129" s="220">
        <f>F122</f>
        <v>32</v>
      </c>
      <c r="BQ129" s="220">
        <f>L122</f>
        <v>32</v>
      </c>
      <c r="BR129" s="220">
        <f>Q122</f>
        <v>24</v>
      </c>
      <c r="BS129" s="220">
        <f>V122</f>
        <v>39</v>
      </c>
    </row>
    <row r="130" spans="3:88" ht="28.5" hidden="1" customHeight="1" x14ac:dyDescent="0.45">
      <c r="C130" s="164"/>
      <c r="E130" s="179">
        <f>LARGE($E$104:$E$116,$BG130)</f>
        <v>42044</v>
      </c>
      <c r="F130" s="210">
        <f>IF(ISERROR(E130)=TRUE,"",VLOOKUP(E130,$E$104:$F$113,2,FALSE))</f>
        <v>44</v>
      </c>
      <c r="G130" s="213">
        <f>IF(F130="","",VLOOKUP(E130,$E$122:$F$126,2,FALSE))</f>
        <v>42</v>
      </c>
      <c r="J130" s="179" t="e">
        <f>LARGE($J$104:$J$116,$BG130)</f>
        <v>#NUM!</v>
      </c>
      <c r="K130" s="210" t="str">
        <f t="shared" ref="K130:K133" si="0">IF(ISERROR(J130)=TRUE,"",VLOOKUP(J130,$J$104:$K$117,2,FALSE))</f>
        <v/>
      </c>
      <c r="L130" s="213" t="str">
        <f t="shared" ref="L130:L133" si="1">IF(K130="","",VLOOKUP(J130,$J$122:$L$126,2,FALSE))</f>
        <v/>
      </c>
      <c r="M130" s="213" t="str">
        <f t="shared" ref="M130:M133" si="2">IF(K130="","",VLOOKUP(J130,$J$122:$L$126,3,FALSE))</f>
        <v/>
      </c>
      <c r="O130" s="179" t="e">
        <f>LARGE($O$104:$O$116,$BG130)</f>
        <v>#NUM!</v>
      </c>
      <c r="P130" s="210" t="str">
        <f t="shared" ref="P130:P133" si="3">IF(ISERROR(O130)=TRUE,"",VLOOKUP(O130,$O$104:$P$117,2,FALSE))</f>
        <v/>
      </c>
      <c r="Q130" s="213" t="str">
        <f t="shared" ref="Q130:Q133" si="4">IF(P130="","",VLOOKUP(O130,$O$122:$Q$126,2,FALSE))</f>
        <v/>
      </c>
      <c r="R130" s="213" t="str">
        <f t="shared" ref="R130:R133" si="5">IF(P130="","",VLOOKUP(O130,$O$122:$Q$126,3,FALSE))</f>
        <v/>
      </c>
      <c r="U130" s="179">
        <f>LARGE($U$104:$U$116,$BG130)</f>
        <v>56044</v>
      </c>
      <c r="V130" s="210">
        <f t="shared" ref="V130:V133" si="6">IF(ISERROR(U130)=TRUE,"",VLOOKUP(U130,$U$104:$V$117,2,FALSE))</f>
        <v>44</v>
      </c>
      <c r="W130" s="213">
        <f>IF(V130="","",VLOOKUP(U130,$U$122:$V$126,2,FALSE))</f>
        <v>56</v>
      </c>
      <c r="BG130" s="219">
        <v>2</v>
      </c>
      <c r="BO130" s="180">
        <v>36</v>
      </c>
      <c r="BP130" s="220">
        <f>F123</f>
        <v>36</v>
      </c>
      <c r="BQ130" s="220">
        <f>L123</f>
        <v>35</v>
      </c>
      <c r="BR130" s="220">
        <f>Q123</f>
        <v>24</v>
      </c>
      <c r="BS130" s="220">
        <f>V123</f>
        <v>45</v>
      </c>
    </row>
    <row r="131" spans="3:88" ht="28.5" hidden="1" customHeight="1" x14ac:dyDescent="0.45">
      <c r="C131" s="164"/>
      <c r="E131" s="179">
        <f>LARGE($E$104:$E$116,$BG131)</f>
        <v>40040</v>
      </c>
      <c r="F131" s="210">
        <f>IF(ISERROR(E131)=TRUE,"",VLOOKUP(E131,$E$104:$F$113,2,FALSE))</f>
        <v>40</v>
      </c>
      <c r="G131" s="213">
        <f>IF(F131="","",VLOOKUP(E131,$E$122:$F$126,2,FALSE))</f>
        <v>40</v>
      </c>
      <c r="J131" s="179" t="e">
        <f>LARGE($J$104:$J$116,$BG131)</f>
        <v>#NUM!</v>
      </c>
      <c r="K131" s="210" t="str">
        <f t="shared" si="0"/>
        <v/>
      </c>
      <c r="L131" s="213" t="str">
        <f t="shared" si="1"/>
        <v/>
      </c>
      <c r="M131" s="213" t="str">
        <f t="shared" si="2"/>
        <v/>
      </c>
      <c r="O131" s="179" t="e">
        <f>LARGE($O$104:$O$116,$BG131)</f>
        <v>#NUM!</v>
      </c>
      <c r="P131" s="210" t="str">
        <f t="shared" si="3"/>
        <v/>
      </c>
      <c r="Q131" s="213" t="str">
        <f t="shared" si="4"/>
        <v/>
      </c>
      <c r="R131" s="213" t="str">
        <f t="shared" si="5"/>
        <v/>
      </c>
      <c r="U131" s="179">
        <f>LARGE($U$104:$U$116,$BG131)</f>
        <v>51040</v>
      </c>
      <c r="V131" s="210">
        <f t="shared" si="6"/>
        <v>40</v>
      </c>
      <c r="W131" s="213">
        <f>IF(V131="","",VLOOKUP(U131,$U$122:$V$126,2,FALSE))</f>
        <v>51</v>
      </c>
      <c r="BG131" s="219">
        <v>3</v>
      </c>
      <c r="BO131" s="180">
        <v>40</v>
      </c>
      <c r="BP131" s="220">
        <f>F124</f>
        <v>40</v>
      </c>
      <c r="BQ131" s="220">
        <f>L124</f>
        <v>40</v>
      </c>
      <c r="BR131" s="220">
        <f>Q124</f>
        <v>29</v>
      </c>
      <c r="BS131" s="220">
        <f>V124</f>
        <v>51</v>
      </c>
    </row>
    <row r="132" spans="3:88" ht="28.5" hidden="1" customHeight="1" x14ac:dyDescent="0.45">
      <c r="C132" s="164"/>
      <c r="E132" s="179">
        <f>LARGE($E$104:$E$116,$BG132)</f>
        <v>36036</v>
      </c>
      <c r="F132" s="210">
        <f>IF(ISERROR(E132)=TRUE,"",VLOOKUP(E132,$E$104:$F$113,2,FALSE))</f>
        <v>36</v>
      </c>
      <c r="G132" s="213">
        <f>IF(F132="","",VLOOKUP(E132,$E$122:$F$126,2,FALSE))</f>
        <v>36</v>
      </c>
      <c r="J132" s="179" t="e">
        <f>LARGE($J$104:$J$116,$BG132)</f>
        <v>#NUM!</v>
      </c>
      <c r="K132" s="210" t="str">
        <f t="shared" si="0"/>
        <v/>
      </c>
      <c r="L132" s="213" t="str">
        <f t="shared" si="1"/>
        <v/>
      </c>
      <c r="M132" s="213" t="str">
        <f t="shared" si="2"/>
        <v/>
      </c>
      <c r="O132" s="179" t="e">
        <f>LARGE($O$104:$O$116,$BG132)</f>
        <v>#NUM!</v>
      </c>
      <c r="P132" s="210" t="str">
        <f t="shared" si="3"/>
        <v/>
      </c>
      <c r="Q132" s="213" t="str">
        <f t="shared" si="4"/>
        <v/>
      </c>
      <c r="R132" s="213" t="str">
        <f t="shared" si="5"/>
        <v/>
      </c>
      <c r="U132" s="179">
        <f>LARGE($U$104:$U$116,$BG132)</f>
        <v>45036</v>
      </c>
      <c r="V132" s="210">
        <f t="shared" si="6"/>
        <v>36</v>
      </c>
      <c r="W132" s="213">
        <f>IF(V132="","",VLOOKUP(U132,$U$122:$V$126,2,FALSE))</f>
        <v>45</v>
      </c>
      <c r="BG132" s="219">
        <v>4</v>
      </c>
      <c r="BO132" s="180">
        <v>44</v>
      </c>
      <c r="BP132" s="220">
        <f>F125</f>
        <v>42</v>
      </c>
      <c r="BQ132" s="220">
        <f>L125</f>
        <v>49</v>
      </c>
      <c r="BR132" s="220">
        <f>Q125</f>
        <v>33</v>
      </c>
      <c r="BS132" s="220">
        <f>V125</f>
        <v>56</v>
      </c>
    </row>
    <row r="133" spans="3:88" ht="28.5" hidden="1" customHeight="1" x14ac:dyDescent="0.45">
      <c r="C133" s="164"/>
      <c r="E133" s="179">
        <f>LARGE($E$104:$E$116,$BG133)</f>
        <v>32034</v>
      </c>
      <c r="F133" s="210">
        <f>IF(ISERROR(E133)=TRUE,"",VLOOKUP(E133,$E$104:$F$113,2,FALSE))</f>
        <v>34</v>
      </c>
      <c r="G133" s="213">
        <f>IF(F133="","",VLOOKUP(E133,$E$122:$F$126,2,FALSE))</f>
        <v>32</v>
      </c>
      <c r="J133" s="179" t="e">
        <f>LARGE($J$104:$J$116,$BG133)</f>
        <v>#NUM!</v>
      </c>
      <c r="K133" s="210" t="str">
        <f t="shared" si="0"/>
        <v/>
      </c>
      <c r="L133" s="213" t="str">
        <f t="shared" si="1"/>
        <v/>
      </c>
      <c r="M133" s="213" t="str">
        <f t="shared" si="2"/>
        <v/>
      </c>
      <c r="O133" s="179" t="e">
        <f>LARGE($O$104:$O$116,$BG133)</f>
        <v>#NUM!</v>
      </c>
      <c r="P133" s="210" t="str">
        <f t="shared" si="3"/>
        <v/>
      </c>
      <c r="Q133" s="213" t="str">
        <f t="shared" si="4"/>
        <v/>
      </c>
      <c r="R133" s="213" t="str">
        <f t="shared" si="5"/>
        <v/>
      </c>
      <c r="U133" s="179">
        <f>LARGE($U$104:$U$116,$BG133)</f>
        <v>39034</v>
      </c>
      <c r="V133" s="210">
        <f t="shared" si="6"/>
        <v>34</v>
      </c>
      <c r="W133" s="213">
        <f>IF(V133="","",VLOOKUP(U133,$U$122:$V$126,2,FALSE))</f>
        <v>39</v>
      </c>
      <c r="BG133" s="219">
        <v>5</v>
      </c>
      <c r="BO133" s="180">
        <v>46</v>
      </c>
      <c r="BP133" s="220">
        <f>F126</f>
        <v>44</v>
      </c>
      <c r="BQ133" s="220">
        <f>L126</f>
        <v>49</v>
      </c>
      <c r="BR133" s="220">
        <f>Q126</f>
        <v>35</v>
      </c>
      <c r="BS133" s="220">
        <f>V126</f>
        <v>56</v>
      </c>
    </row>
    <row r="134" spans="3:88" ht="15" hidden="1" customHeight="1" x14ac:dyDescent="0.25">
      <c r="C134" s="164"/>
    </row>
    <row r="135" spans="3:88" ht="15" hidden="1" customHeight="1" thickBot="1" x14ac:dyDescent="0.3">
      <c r="C135" s="164"/>
    </row>
    <row r="136" spans="3:88" ht="15" hidden="1" customHeight="1" x14ac:dyDescent="0.25">
      <c r="C136" s="164"/>
      <c r="BH136" s="342" t="s">
        <v>266</v>
      </c>
      <c r="BI136" s="343"/>
      <c r="BJ136" s="343"/>
      <c r="BK136" s="344"/>
      <c r="BP136" s="342" t="s">
        <v>267</v>
      </c>
      <c r="BQ136" s="343"/>
      <c r="BR136" s="343"/>
      <c r="BS136" s="344"/>
      <c r="BX136" s="342" t="s">
        <v>268</v>
      </c>
      <c r="BY136" s="343"/>
      <c r="BZ136" s="343"/>
      <c r="CA136" s="344"/>
    </row>
    <row r="137" spans="3:88" ht="15" hidden="1" customHeight="1" thickBot="1" x14ac:dyDescent="0.3"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BH137" s="345"/>
      <c r="BI137" s="346"/>
      <c r="BJ137" s="346"/>
      <c r="BK137" s="347"/>
      <c r="BP137" s="345"/>
      <c r="BQ137" s="346"/>
      <c r="BR137" s="346"/>
      <c r="BS137" s="347"/>
      <c r="BX137" s="345"/>
      <c r="BY137" s="346"/>
      <c r="BZ137" s="346"/>
      <c r="CA137" s="347"/>
    </row>
    <row r="138" spans="3:88" ht="15" hidden="1" customHeight="1" x14ac:dyDescent="0.3">
      <c r="C138" s="164"/>
      <c r="Y138" s="164"/>
      <c r="BH138" s="221">
        <f>F129</f>
        <v>46</v>
      </c>
      <c r="BI138" s="221" t="str">
        <f>K129</f>
        <v/>
      </c>
      <c r="BJ138" s="221" t="str">
        <f>P129</f>
        <v/>
      </c>
      <c r="BK138" s="221">
        <f>V129</f>
        <v>46</v>
      </c>
      <c r="BP138" s="221">
        <f t="shared" ref="BP138:BS139" si="7">J157</f>
        <v>34</v>
      </c>
      <c r="BQ138" s="221" t="e">
        <f t="shared" si="7"/>
        <v>#NUM!</v>
      </c>
      <c r="BR138" s="221" t="e">
        <f t="shared" si="7"/>
        <v>#NUM!</v>
      </c>
      <c r="BS138" s="221">
        <f t="shared" si="7"/>
        <v>34</v>
      </c>
      <c r="BX138" s="221">
        <f t="shared" ref="BX138:CA139" si="8">P157</f>
        <v>46</v>
      </c>
      <c r="BY138" s="221" t="e">
        <f t="shared" si="8"/>
        <v>#NUM!</v>
      </c>
      <c r="BZ138" s="221" t="e">
        <f t="shared" si="8"/>
        <v>#NUM!</v>
      </c>
      <c r="CA138" s="221">
        <f t="shared" si="8"/>
        <v>46</v>
      </c>
    </row>
    <row r="139" spans="3:88" ht="25.5" hidden="1" customHeight="1" x14ac:dyDescent="0.45">
      <c r="C139" s="164"/>
      <c r="E139" s="165" t="s">
        <v>260</v>
      </c>
      <c r="F139" s="210">
        <f>LARGE(F$129:F$133,$BG129)</f>
        <v>46</v>
      </c>
      <c r="G139" s="222">
        <f>VLOOKUP(F139,F$129:G$133,2,FALSE)</f>
        <v>44</v>
      </c>
      <c r="J139" s="165" t="s">
        <v>260</v>
      </c>
      <c r="K139" s="210" t="e">
        <f>LARGE(K$129:K$133,$BG129)</f>
        <v>#NUM!</v>
      </c>
      <c r="L139" s="222" t="e">
        <f>VLOOKUP(K$139,K$129:M$133,2,FALSE)</f>
        <v>#NUM!</v>
      </c>
      <c r="M139" s="222" t="e">
        <f>VLOOKUP(K$139,K$129:M$133,3,FALSE)</f>
        <v>#NUM!</v>
      </c>
      <c r="O139" s="165" t="s">
        <v>260</v>
      </c>
      <c r="P139" s="210" t="e">
        <f>LARGE(P$129:P$133,$BG129)</f>
        <v>#NUM!</v>
      </c>
      <c r="Q139" s="222" t="e">
        <f>VLOOKUP(P$139,P$129:R$133,2,FALSE)</f>
        <v>#NUM!</v>
      </c>
      <c r="R139" s="222" t="e">
        <f>VLOOKUP(P$139,P$129:R$133,3,FALSE)</f>
        <v>#NUM!</v>
      </c>
      <c r="U139" s="165" t="s">
        <v>260</v>
      </c>
      <c r="V139" s="210">
        <f>LARGE(V$129:V$133,$BG129)</f>
        <v>46</v>
      </c>
      <c r="W139" s="222">
        <f>VLOOKUP(V139,V$129:W$133,2,FALSE)</f>
        <v>56</v>
      </c>
      <c r="Y139" s="164"/>
      <c r="BH139" s="221">
        <f>F130</f>
        <v>44</v>
      </c>
      <c r="BI139" s="221" t="str">
        <f>K130</f>
        <v/>
      </c>
      <c r="BJ139" s="221" t="str">
        <f>P130</f>
        <v/>
      </c>
      <c r="BK139" s="221">
        <f>V130</f>
        <v>44</v>
      </c>
      <c r="BP139" s="221">
        <f t="shared" si="7"/>
        <v>36</v>
      </c>
      <c r="BQ139" s="221" t="str">
        <f t="shared" si="7"/>
        <v/>
      </c>
      <c r="BR139" s="221" t="str">
        <f t="shared" si="7"/>
        <v/>
      </c>
      <c r="BS139" s="221">
        <f t="shared" si="7"/>
        <v>36</v>
      </c>
      <c r="BX139" s="221">
        <f t="shared" si="8"/>
        <v>44</v>
      </c>
      <c r="BY139" s="221" t="str">
        <f t="shared" si="8"/>
        <v/>
      </c>
      <c r="BZ139" s="221" t="str">
        <f t="shared" si="8"/>
        <v/>
      </c>
      <c r="CA139" s="221">
        <f t="shared" si="8"/>
        <v>44</v>
      </c>
    </row>
    <row r="140" spans="3:88" ht="25.5" hidden="1" customHeight="1" x14ac:dyDescent="0.45">
      <c r="C140" s="164"/>
      <c r="E140" s="165" t="s">
        <v>264</v>
      </c>
      <c r="F140" s="210">
        <f>LARGE(F$129:F$133,$BG130)</f>
        <v>44</v>
      </c>
      <c r="G140" s="222">
        <f t="shared" ref="G140:G142" si="9">VLOOKUP(F140,F$129:G$133,2,FALSE)</f>
        <v>42</v>
      </c>
      <c r="J140" s="165" t="s">
        <v>264</v>
      </c>
      <c r="K140" s="210" t="e">
        <f>LARGE(K$129:K$133,$BG130)</f>
        <v>#NUM!</v>
      </c>
      <c r="L140" s="222" t="e">
        <f>VLOOKUP(K$139,K$129:M$133,2,FALSE)</f>
        <v>#NUM!</v>
      </c>
      <c r="M140" s="222" t="e">
        <f>VLOOKUP(K$139,K$129:M$133,3,FALSE)</f>
        <v>#NUM!</v>
      </c>
      <c r="O140" s="165" t="s">
        <v>264</v>
      </c>
      <c r="P140" s="210" t="e">
        <f>LARGE(P$129:P$133,$BG130)</f>
        <v>#NUM!</v>
      </c>
      <c r="Q140" s="222" t="e">
        <f>VLOOKUP(P$139,P$129:R$133,2,FALSE)</f>
        <v>#NUM!</v>
      </c>
      <c r="R140" s="222" t="e">
        <f>VLOOKUP(P$139,P$129:R$133,3,FALSE)</f>
        <v>#NUM!</v>
      </c>
      <c r="U140" s="165" t="s">
        <v>264</v>
      </c>
      <c r="V140" s="210">
        <f>LARGE(V$129:V$133,$BG130)</f>
        <v>44</v>
      </c>
      <c r="W140" s="222">
        <f>VLOOKUP(V140,V$129:W$133,2,FALSE)</f>
        <v>56</v>
      </c>
      <c r="Y140" s="164"/>
      <c r="BH140" s="221">
        <f>F131</f>
        <v>40</v>
      </c>
      <c r="BI140" s="221" t="str">
        <f>K131</f>
        <v/>
      </c>
      <c r="BJ140" s="221" t="str">
        <f>P131</f>
        <v/>
      </c>
      <c r="BK140" s="221">
        <f>V131</f>
        <v>40</v>
      </c>
    </row>
    <row r="141" spans="3:88" ht="25.5" hidden="1" customHeight="1" thickBot="1" x14ac:dyDescent="0.5">
      <c r="C141" s="164"/>
      <c r="E141" s="165" t="s">
        <v>265</v>
      </c>
      <c r="F141" s="210">
        <f>LARGE(F$129:F$133,$BG131)</f>
        <v>40</v>
      </c>
      <c r="G141" s="222">
        <f t="shared" si="9"/>
        <v>40</v>
      </c>
      <c r="J141" s="165" t="s">
        <v>265</v>
      </c>
      <c r="K141" s="210" t="e">
        <f>LARGE(K$129:K$133,$BG131)</f>
        <v>#NUM!</v>
      </c>
      <c r="L141" s="222" t="e">
        <f>VLOOKUP(K$139,K$129:M$133,2,FALSE)</f>
        <v>#NUM!</v>
      </c>
      <c r="M141" s="222" t="e">
        <f>VLOOKUP(K$139,K$129:M$133,3,FALSE)</f>
        <v>#NUM!</v>
      </c>
      <c r="O141" s="165" t="s">
        <v>265</v>
      </c>
      <c r="P141" s="210" t="e">
        <f>LARGE(P$129:P$133,$BG131)</f>
        <v>#NUM!</v>
      </c>
      <c r="Q141" s="222" t="e">
        <f>VLOOKUP(P$139,P$129:R$133,2,FALSE)</f>
        <v>#NUM!</v>
      </c>
      <c r="R141" s="222" t="e">
        <f>VLOOKUP(P$139,P$129:R$133,3,FALSE)</f>
        <v>#NUM!</v>
      </c>
      <c r="U141" s="165" t="s">
        <v>265</v>
      </c>
      <c r="V141" s="210">
        <f>LARGE(V$129:V$133,$BG131)</f>
        <v>40</v>
      </c>
      <c r="W141" s="222">
        <f>VLOOKUP(V141,V$129:W$133,2,FALSE)</f>
        <v>51</v>
      </c>
      <c r="Y141" s="164"/>
      <c r="BH141" s="221">
        <f>F132</f>
        <v>36</v>
      </c>
      <c r="BI141" s="221" t="str">
        <f>K132</f>
        <v/>
      </c>
      <c r="BJ141" s="221" t="str">
        <f>P132</f>
        <v/>
      </c>
      <c r="BK141" s="221">
        <f>V132</f>
        <v>36</v>
      </c>
    </row>
    <row r="142" spans="3:88" ht="25.5" hidden="1" customHeight="1" thickBot="1" x14ac:dyDescent="0.5">
      <c r="C142" s="164"/>
      <c r="E142" s="165" t="s">
        <v>261</v>
      </c>
      <c r="F142" s="210">
        <f>MIN(F$129:F$133)</f>
        <v>34</v>
      </c>
      <c r="G142" s="222">
        <f t="shared" si="9"/>
        <v>32</v>
      </c>
      <c r="J142" s="165" t="s">
        <v>261</v>
      </c>
      <c r="K142" s="210">
        <f>MIN(K$129:K$133)</f>
        <v>0</v>
      </c>
      <c r="L142" s="222" t="e">
        <f>VLOOKUP(K$139,K$129:M$133,2,FALSE)</f>
        <v>#NUM!</v>
      </c>
      <c r="M142" s="222" t="e">
        <f>VLOOKUP(K$139,K$129:M$133,3,FALSE)</f>
        <v>#NUM!</v>
      </c>
      <c r="O142" s="165" t="s">
        <v>261</v>
      </c>
      <c r="P142" s="210">
        <f>MIN(P$129:P$133)</f>
        <v>0</v>
      </c>
      <c r="Q142" s="222" t="e">
        <f>VLOOKUP(P$139,P$129:R$133,2,FALSE)</f>
        <v>#NUM!</v>
      </c>
      <c r="R142" s="222" t="e">
        <f>VLOOKUP(P$139,P$129:R$133,3,FALSE)</f>
        <v>#NUM!</v>
      </c>
      <c r="U142" s="165" t="s">
        <v>261</v>
      </c>
      <c r="V142" s="210">
        <f>MIN(V$129:V$133)</f>
        <v>34</v>
      </c>
      <c r="W142" s="222">
        <f>VLOOKUP(V142,V$129:W$133,2,FALSE)</f>
        <v>39</v>
      </c>
      <c r="Y142" s="164"/>
      <c r="BH142" s="221">
        <f>F133</f>
        <v>34</v>
      </c>
      <c r="BI142" s="221" t="str">
        <f>K133</f>
        <v/>
      </c>
      <c r="BJ142" s="221" t="str">
        <f>P133</f>
        <v/>
      </c>
      <c r="BK142" s="221">
        <f>V133</f>
        <v>34</v>
      </c>
      <c r="CE142" s="223">
        <f>MIN(BO153:BO155)</f>
        <v>34</v>
      </c>
      <c r="CF142" s="224">
        <f>VLOOKUP(CE142,BZ145:CA149,2)</f>
        <v>1</v>
      </c>
      <c r="CI142" s="223">
        <f>MIN(BW153:BW155)</f>
        <v>40</v>
      </c>
      <c r="CJ142" s="224">
        <f>VLOOKUP(CI142,BZ145:CA149,2)</f>
        <v>3</v>
      </c>
    </row>
    <row r="143" spans="3:88" ht="34.5" hidden="1" customHeight="1" x14ac:dyDescent="0.25">
      <c r="C143" s="164"/>
      <c r="Y143" s="164"/>
    </row>
    <row r="144" spans="3:88" ht="15" hidden="1" customHeight="1" x14ac:dyDescent="0.25"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</row>
    <row r="145" spans="3:88" ht="25.5" hidden="1" customHeight="1" x14ac:dyDescent="0.25">
      <c r="C145" s="164"/>
      <c r="Y145" s="164"/>
      <c r="BH145" s="179">
        <f>BK145/1000+BI145</f>
        <v>2.0009999999999999</v>
      </c>
      <c r="BI145" s="225">
        <f>COUNTIF($BH$138:$BK$142,BJ145)</f>
        <v>2</v>
      </c>
      <c r="BJ145" s="180">
        <v>34</v>
      </c>
      <c r="BK145" s="226">
        <v>1</v>
      </c>
      <c r="BP145" s="179">
        <f>BS145/1000+BQ145</f>
        <v>2.0009999999999999</v>
      </c>
      <c r="BQ145" s="225">
        <f>COUNTIF($BP$138:$BS$139,BR145)</f>
        <v>2</v>
      </c>
      <c r="BR145" s="180">
        <v>34</v>
      </c>
      <c r="BS145" s="226">
        <v>1</v>
      </c>
      <c r="BX145" s="179">
        <f>CA145/1000+BY145</f>
        <v>1E-3</v>
      </c>
      <c r="BY145" s="225">
        <f>COUNTIF($BX$138:$CA$139,BZ145)</f>
        <v>0</v>
      </c>
      <c r="BZ145" s="180">
        <v>34</v>
      </c>
      <c r="CA145" s="226">
        <v>1</v>
      </c>
      <c r="CB145" s="227">
        <v>34</v>
      </c>
      <c r="CE145" s="228">
        <f>CF142</f>
        <v>1</v>
      </c>
      <c r="CF145" s="229">
        <f>VLOOKUP(CE145,$CA$145:$CB$149,2,FALSE)</f>
        <v>34</v>
      </c>
      <c r="CI145" s="228">
        <f>CJ142</f>
        <v>3</v>
      </c>
      <c r="CJ145" s="229">
        <f>VLOOKUP(CI145,$CA$145:$CB$149,2,FALSE)</f>
        <v>40</v>
      </c>
    </row>
    <row r="146" spans="3:88" ht="25.5" hidden="1" customHeight="1" x14ac:dyDescent="0.45">
      <c r="C146" s="164"/>
      <c r="E146" s="165" t="s">
        <v>261</v>
      </c>
      <c r="F146" s="210">
        <f>SMALL(F$129:F$133,$BG129)</f>
        <v>34</v>
      </c>
      <c r="G146" s="230">
        <f>VLOOKUP(F146,F$129:G$133,2,FALSE)</f>
        <v>32</v>
      </c>
      <c r="J146" s="165" t="s">
        <v>261</v>
      </c>
      <c r="K146" s="210" t="e">
        <f>SMALL(K$129:K$133,$BG129)</f>
        <v>#NUM!</v>
      </c>
      <c r="L146" s="230" t="e">
        <f>VLOOKUP(K$139,K$129:M$133,2,FALSE)</f>
        <v>#NUM!</v>
      </c>
      <c r="M146" s="230" t="e">
        <f>VLOOKUP(K$139,K$129:M$133,3,FALSE)</f>
        <v>#NUM!</v>
      </c>
      <c r="O146" s="165" t="s">
        <v>261</v>
      </c>
      <c r="P146" s="210" t="e">
        <f>SMALL(P$129:P$133,$BG129)</f>
        <v>#NUM!</v>
      </c>
      <c r="Q146" s="230" t="e">
        <f>VLOOKUP(P$139,P$129:R$133,2,FALSE)</f>
        <v>#NUM!</v>
      </c>
      <c r="R146" s="230" t="e">
        <f>VLOOKUP(P$139,P$129:R$133,3,FALSE)</f>
        <v>#NUM!</v>
      </c>
      <c r="U146" s="165" t="s">
        <v>261</v>
      </c>
      <c r="V146" s="210">
        <f>SMALL(V$129:V$133,$BG129)</f>
        <v>34</v>
      </c>
      <c r="W146" s="230">
        <f>VLOOKUP(V146,V$129:W$133,2,FALSE)</f>
        <v>39</v>
      </c>
      <c r="Y146" s="164"/>
      <c r="BH146" s="179">
        <f>BK146/1000+BI146</f>
        <v>2.0019999999999998</v>
      </c>
      <c r="BI146" s="225">
        <f>COUNTIF($BH$138:$BK$142,BJ146)</f>
        <v>2</v>
      </c>
      <c r="BJ146" s="180">
        <v>36</v>
      </c>
      <c r="BK146" s="226">
        <v>2</v>
      </c>
      <c r="BP146" s="179">
        <f>BS146/1000+BQ146</f>
        <v>2.0019999999999998</v>
      </c>
      <c r="BQ146" s="225">
        <f t="shared" ref="BQ146:BQ149" si="10">COUNTIF($BP$138:$BS$139,BR146)</f>
        <v>2</v>
      </c>
      <c r="BR146" s="180">
        <v>36</v>
      </c>
      <c r="BS146" s="226">
        <v>2</v>
      </c>
      <c r="BX146" s="179">
        <f>CA146/1000+BY146</f>
        <v>2E-3</v>
      </c>
      <c r="BY146" s="225">
        <f t="shared" ref="BY146:BY149" si="11">COUNTIF($BX$138:$CA$139,BZ146)</f>
        <v>0</v>
      </c>
      <c r="BZ146" s="180">
        <v>36</v>
      </c>
      <c r="CA146" s="226">
        <v>2</v>
      </c>
      <c r="CB146" s="227">
        <v>36</v>
      </c>
      <c r="CE146" s="228">
        <f>CE145+1</f>
        <v>2</v>
      </c>
      <c r="CF146" s="229">
        <f t="shared" ref="CF146:CF147" si="12">VLOOKUP(CE146,$CA$145:$CB$149,2,FALSE)</f>
        <v>36</v>
      </c>
      <c r="CI146" s="228">
        <f>CI145+1</f>
        <v>4</v>
      </c>
      <c r="CJ146" s="229">
        <f t="shared" ref="CJ146:CJ147" si="13">VLOOKUP(CI146,$CA$145:$CB$149,2,FALSE)</f>
        <v>44</v>
      </c>
    </row>
    <row r="147" spans="3:88" ht="25.5" hidden="1" customHeight="1" x14ac:dyDescent="0.45">
      <c r="C147" s="164"/>
      <c r="E147" s="165" t="s">
        <v>265</v>
      </c>
      <c r="F147" s="210">
        <f>SMALL(F$129:F$133,$BG130)</f>
        <v>36</v>
      </c>
      <c r="G147" s="230">
        <f t="shared" ref="G147:G149" si="14">VLOOKUP(F147,F$129:G$133,2,FALSE)</f>
        <v>36</v>
      </c>
      <c r="J147" s="165" t="s">
        <v>265</v>
      </c>
      <c r="K147" s="210" t="e">
        <f>SMALL(K$129:K$133,$BG130)</f>
        <v>#NUM!</v>
      </c>
      <c r="L147" s="230" t="e">
        <f>VLOOKUP(K$139,K$129:M$133,2,FALSE)</f>
        <v>#NUM!</v>
      </c>
      <c r="M147" s="230" t="e">
        <f>VLOOKUP(K$139,K$129:M$133,3,FALSE)</f>
        <v>#NUM!</v>
      </c>
      <c r="O147" s="165" t="s">
        <v>265</v>
      </c>
      <c r="P147" s="210" t="e">
        <f>SMALL(P$129:P$133,$BG130)</f>
        <v>#NUM!</v>
      </c>
      <c r="Q147" s="230" t="e">
        <f>VLOOKUP(P$139,P$129:R$133,2,FALSE)</f>
        <v>#NUM!</v>
      </c>
      <c r="R147" s="230" t="e">
        <f>VLOOKUP(P$139,P$129:R$133,3,FALSE)</f>
        <v>#NUM!</v>
      </c>
      <c r="U147" s="165" t="s">
        <v>265</v>
      </c>
      <c r="V147" s="210">
        <f>SMALL(V$129:V$133,$BG130)</f>
        <v>36</v>
      </c>
      <c r="W147" s="230">
        <f>VLOOKUP(V147,V$129:W$133,2,FALSE)</f>
        <v>45</v>
      </c>
      <c r="Y147" s="164"/>
      <c r="BH147" s="179">
        <f>BK147/1000+BI147</f>
        <v>2.0030000000000001</v>
      </c>
      <c r="BI147" s="225">
        <f>COUNTIF($BH$138:$BK$142,BJ147)</f>
        <v>2</v>
      </c>
      <c r="BJ147" s="180">
        <v>40</v>
      </c>
      <c r="BK147" s="226">
        <v>3</v>
      </c>
      <c r="BP147" s="179">
        <f>BS147/1000+BQ147</f>
        <v>3.0000000000000001E-3</v>
      </c>
      <c r="BQ147" s="225">
        <f t="shared" si="10"/>
        <v>0</v>
      </c>
      <c r="BR147" s="180">
        <v>40</v>
      </c>
      <c r="BS147" s="226">
        <v>3</v>
      </c>
      <c r="BX147" s="179">
        <f>CA147/1000+BY147</f>
        <v>3.0000000000000001E-3</v>
      </c>
      <c r="BY147" s="225">
        <f t="shared" si="11"/>
        <v>0</v>
      </c>
      <c r="BZ147" s="180">
        <v>40</v>
      </c>
      <c r="CA147" s="226">
        <v>3</v>
      </c>
      <c r="CB147" s="227">
        <v>40</v>
      </c>
      <c r="CE147" s="228">
        <f>CE146+1</f>
        <v>3</v>
      </c>
      <c r="CF147" s="229">
        <f t="shared" si="12"/>
        <v>40</v>
      </c>
      <c r="CI147" s="228">
        <f>CI146+1</f>
        <v>5</v>
      </c>
      <c r="CJ147" s="229">
        <f t="shared" si="13"/>
        <v>46</v>
      </c>
    </row>
    <row r="148" spans="3:88" ht="25.5" hidden="1" customHeight="1" x14ac:dyDescent="0.45">
      <c r="C148" s="164"/>
      <c r="E148" s="165" t="s">
        <v>264</v>
      </c>
      <c r="F148" s="210">
        <f>SMALL(F$129:F$133,$BG131)</f>
        <v>40</v>
      </c>
      <c r="G148" s="230">
        <f t="shared" si="14"/>
        <v>40</v>
      </c>
      <c r="J148" s="165" t="s">
        <v>264</v>
      </c>
      <c r="K148" s="210" t="e">
        <f>SMALL(K$129:K$133,$BG131)</f>
        <v>#NUM!</v>
      </c>
      <c r="L148" s="230" t="e">
        <f>VLOOKUP(K$139,K$129:M$133,2,FALSE)</f>
        <v>#NUM!</v>
      </c>
      <c r="M148" s="230" t="e">
        <f>VLOOKUP(K$139,K$129:M$133,3,FALSE)</f>
        <v>#NUM!</v>
      </c>
      <c r="O148" s="165" t="s">
        <v>264</v>
      </c>
      <c r="P148" s="210" t="e">
        <f>SMALL(P$129:P$133,$BG131)</f>
        <v>#NUM!</v>
      </c>
      <c r="Q148" s="230" t="e">
        <f>VLOOKUP(P$139,P$129:R$133,2,FALSE)</f>
        <v>#NUM!</v>
      </c>
      <c r="R148" s="230" t="e">
        <f>VLOOKUP(P$139,P$129:R$133,3,FALSE)</f>
        <v>#NUM!</v>
      </c>
      <c r="U148" s="165" t="s">
        <v>264</v>
      </c>
      <c r="V148" s="210">
        <f>SMALL(V$129:V$133,$BG131)</f>
        <v>40</v>
      </c>
      <c r="W148" s="230">
        <f>VLOOKUP(V148,V$129:W$133,2,FALSE)</f>
        <v>51</v>
      </c>
      <c r="Y148" s="164"/>
      <c r="BH148" s="179">
        <f>BK148/1000+BI148</f>
        <v>2.004</v>
      </c>
      <c r="BI148" s="225">
        <f>COUNTIF($BH$138:$BK$142,BJ148)</f>
        <v>2</v>
      </c>
      <c r="BJ148" s="180">
        <v>44</v>
      </c>
      <c r="BK148" s="226">
        <v>4</v>
      </c>
      <c r="BP148" s="179">
        <f>BS148/1000+BQ148</f>
        <v>4.0000000000000001E-3</v>
      </c>
      <c r="BQ148" s="225">
        <f t="shared" si="10"/>
        <v>0</v>
      </c>
      <c r="BR148" s="180">
        <v>44</v>
      </c>
      <c r="BS148" s="226">
        <v>4</v>
      </c>
      <c r="BX148" s="179">
        <f>CA148/1000+BY148</f>
        <v>2.004</v>
      </c>
      <c r="BY148" s="225">
        <f t="shared" si="11"/>
        <v>2</v>
      </c>
      <c r="BZ148" s="180">
        <v>44</v>
      </c>
      <c r="CA148" s="226">
        <v>4</v>
      </c>
      <c r="CB148" s="227">
        <v>44</v>
      </c>
    </row>
    <row r="149" spans="3:88" ht="25.5" hidden="1" customHeight="1" x14ac:dyDescent="0.45">
      <c r="C149" s="164"/>
      <c r="E149" s="165" t="s">
        <v>260</v>
      </c>
      <c r="F149" s="210">
        <f>MAX(F$129:F$133)</f>
        <v>46</v>
      </c>
      <c r="G149" s="230">
        <f t="shared" si="14"/>
        <v>44</v>
      </c>
      <c r="J149" s="165" t="s">
        <v>260</v>
      </c>
      <c r="K149" s="210">
        <f>MAX(K$129:K$133)</f>
        <v>0</v>
      </c>
      <c r="L149" s="230" t="e">
        <f>VLOOKUP(K$139,K$129:M$133,2,FALSE)</f>
        <v>#NUM!</v>
      </c>
      <c r="M149" s="230" t="e">
        <f>VLOOKUP(K$139,K$129:M$133,3,FALSE)</f>
        <v>#NUM!</v>
      </c>
      <c r="O149" s="165" t="s">
        <v>260</v>
      </c>
      <c r="P149" s="210">
        <f>MAX(P$129:P$133)</f>
        <v>0</v>
      </c>
      <c r="Q149" s="230" t="e">
        <f>VLOOKUP(P$139,P$129:R$133,2,FALSE)</f>
        <v>#NUM!</v>
      </c>
      <c r="R149" s="230" t="e">
        <f>VLOOKUP(P$139,P$129:R$133,3,FALSE)</f>
        <v>#NUM!</v>
      </c>
      <c r="U149" s="165" t="s">
        <v>260</v>
      </c>
      <c r="V149" s="210">
        <f>MAX(V$129:V$133)</f>
        <v>46</v>
      </c>
      <c r="W149" s="230">
        <f>VLOOKUP(V149,V$129:W$133,2,FALSE)</f>
        <v>56</v>
      </c>
      <c r="Y149" s="164"/>
      <c r="BH149" s="179">
        <f>BK149/1000+BI149</f>
        <v>2.0049999999999999</v>
      </c>
      <c r="BI149" s="225">
        <f>COUNTIF($BH$138:$BK$142,BJ149)</f>
        <v>2</v>
      </c>
      <c r="BJ149" s="180">
        <v>46</v>
      </c>
      <c r="BK149" s="226">
        <v>5</v>
      </c>
      <c r="BP149" s="179">
        <f>BS149/1000+BQ149</f>
        <v>5.0000000000000001E-3</v>
      </c>
      <c r="BQ149" s="225">
        <f t="shared" si="10"/>
        <v>0</v>
      </c>
      <c r="BR149" s="180">
        <v>46</v>
      </c>
      <c r="BS149" s="226">
        <v>5</v>
      </c>
      <c r="BX149" s="179">
        <f>CA149/1000+BY149</f>
        <v>2.0049999999999999</v>
      </c>
      <c r="BY149" s="225">
        <f t="shared" si="11"/>
        <v>2</v>
      </c>
      <c r="BZ149" s="180">
        <v>46</v>
      </c>
      <c r="CA149" s="226">
        <v>5</v>
      </c>
      <c r="CB149" s="227">
        <v>46</v>
      </c>
    </row>
    <row r="150" spans="3:88" ht="15" hidden="1" customHeight="1" x14ac:dyDescent="0.25">
      <c r="C150" s="164"/>
      <c r="Y150" s="164"/>
    </row>
    <row r="151" spans="3:88" ht="15" hidden="1" customHeight="1" x14ac:dyDescent="0.25"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</row>
    <row r="152" spans="3:88" ht="15" hidden="1" customHeight="1" x14ac:dyDescent="0.25"/>
    <row r="153" spans="3:88" ht="24" hidden="1" customHeight="1" x14ac:dyDescent="0.25">
      <c r="BE153" s="226">
        <v>1</v>
      </c>
      <c r="BF153" s="179">
        <f>LARGE($BH$145:$BH$149,BE153)</f>
        <v>2.0049999999999999</v>
      </c>
      <c r="BG153" s="180">
        <f>VLOOKUP(BF153,$BH$145:$BJ$149,3,FALSE)</f>
        <v>46</v>
      </c>
      <c r="BH153" s="220">
        <f t="shared" ref="BH153:BK157" si="15">VLOOKUP($BG153,$BO$129:$BS$133,BP$122,FALSE)</f>
        <v>44</v>
      </c>
      <c r="BI153" s="220">
        <f t="shared" si="15"/>
        <v>49</v>
      </c>
      <c r="BJ153" s="220">
        <f t="shared" si="15"/>
        <v>35</v>
      </c>
      <c r="BK153" s="220">
        <f t="shared" si="15"/>
        <v>56</v>
      </c>
      <c r="BM153" s="226">
        <v>1</v>
      </c>
      <c r="BN153" s="179">
        <f>LARGE($BP$145:$BP$149,BM153)</f>
        <v>2.0019999999999998</v>
      </c>
      <c r="BO153" s="180">
        <f>VLOOKUP(BN153,$BP$145:$BR$149,3,FALSE)</f>
        <v>36</v>
      </c>
      <c r="BP153" s="220">
        <f>VLOOKUP($BO153,$BO$129:$BS$133,BP$122,FALSE)</f>
        <v>36</v>
      </c>
      <c r="BQ153" s="220">
        <f t="shared" ref="BQ153:BS157" si="16">VLOOKUP($BO153,$BO$129:$BS$133,BQ$122,FALSE)</f>
        <v>35</v>
      </c>
      <c r="BR153" s="220">
        <f t="shared" si="16"/>
        <v>24</v>
      </c>
      <c r="BS153" s="220">
        <f t="shared" si="16"/>
        <v>45</v>
      </c>
      <c r="BU153" s="226">
        <v>1</v>
      </c>
      <c r="BV153" s="179">
        <f>LARGE($BX$145:$BX$149,BU153)</f>
        <v>2.0049999999999999</v>
      </c>
      <c r="BW153" s="180">
        <f>VLOOKUP(BV153,$BX$145:$BZ$149,3,FALSE)</f>
        <v>46</v>
      </c>
      <c r="BX153" s="220">
        <f>VLOOKUP($BW153,$BO$129:$BS$133,BP$122,FALSE)</f>
        <v>44</v>
      </c>
      <c r="BY153" s="220">
        <f t="shared" ref="BY153:CA153" si="17">VLOOKUP($BW153,$BO$129:$BS$133,BQ$122,FALSE)</f>
        <v>49</v>
      </c>
      <c r="BZ153" s="220">
        <f t="shared" si="17"/>
        <v>35</v>
      </c>
      <c r="CA153" s="220">
        <f t="shared" si="17"/>
        <v>56</v>
      </c>
    </row>
    <row r="154" spans="3:88" ht="24" hidden="1" customHeight="1" x14ac:dyDescent="0.25">
      <c r="J154" s="387" t="s">
        <v>262</v>
      </c>
      <c r="K154" s="387"/>
      <c r="L154" s="387"/>
      <c r="M154" s="387"/>
      <c r="P154" s="387" t="s">
        <v>263</v>
      </c>
      <c r="Q154" s="387"/>
      <c r="R154" s="387"/>
      <c r="S154" s="387"/>
      <c r="BE154" s="226">
        <v>2</v>
      </c>
      <c r="BF154" s="179">
        <f>LARGE($BH$145:$BH$149,BE154)</f>
        <v>2.004</v>
      </c>
      <c r="BG154" s="180">
        <f>VLOOKUP(BF154,$BH$145:$BJ$149,3,FALSE)</f>
        <v>44</v>
      </c>
      <c r="BH154" s="220">
        <f t="shared" si="15"/>
        <v>42</v>
      </c>
      <c r="BI154" s="220">
        <f t="shared" si="15"/>
        <v>49</v>
      </c>
      <c r="BJ154" s="220">
        <f t="shared" si="15"/>
        <v>33</v>
      </c>
      <c r="BK154" s="220">
        <f t="shared" si="15"/>
        <v>56</v>
      </c>
      <c r="BM154" s="226">
        <v>2</v>
      </c>
      <c r="BN154" s="179">
        <f t="shared" ref="BN154:BN157" si="18">LARGE($BP$145:$BP$149,BM154)</f>
        <v>2.0009999999999999</v>
      </c>
      <c r="BO154" s="180">
        <f t="shared" ref="BO154:BO157" si="19">VLOOKUP(BN154,$BP$145:$BR$149,3,FALSE)</f>
        <v>34</v>
      </c>
      <c r="BP154" s="220">
        <f t="shared" ref="BP154:BP157" si="20">VLOOKUP($BO154,$BO$129:$BS$133,BP$122,FALSE)</f>
        <v>32</v>
      </c>
      <c r="BQ154" s="220">
        <f t="shared" si="16"/>
        <v>32</v>
      </c>
      <c r="BR154" s="220">
        <f t="shared" si="16"/>
        <v>24</v>
      </c>
      <c r="BS154" s="220">
        <f t="shared" si="16"/>
        <v>39</v>
      </c>
      <c r="BU154" s="226">
        <v>2</v>
      </c>
      <c r="BV154" s="179">
        <f t="shared" ref="BV154:BV157" si="21">LARGE($BX$145:$BX$149,BU154)</f>
        <v>2.004</v>
      </c>
      <c r="BW154" s="180">
        <f t="shared" ref="BW154:BW157" si="22">VLOOKUP(BV154,$BX$145:$BZ$149,3,FALSE)</f>
        <v>44</v>
      </c>
      <c r="BX154" s="220">
        <f t="shared" ref="BX154:BX157" si="23">VLOOKUP($BW154,$BO$129:$BS$133,BP$122,FALSE)</f>
        <v>42</v>
      </c>
      <c r="BY154" s="220">
        <f t="shared" ref="BY154:BY157" si="24">VLOOKUP($BW154,$BO$129:$BS$133,BQ$122,FALSE)</f>
        <v>49</v>
      </c>
      <c r="BZ154" s="220">
        <f t="shared" ref="BZ154:BZ157" si="25">VLOOKUP($BW154,$BO$129:$BS$133,BR$122,FALSE)</f>
        <v>33</v>
      </c>
      <c r="CA154" s="220">
        <f t="shared" ref="CA154:CA157" si="26">VLOOKUP($BW154,$BO$129:$BS$133,BS$122,FALSE)</f>
        <v>56</v>
      </c>
    </row>
    <row r="155" spans="3:88" ht="24" hidden="1" customHeight="1" x14ac:dyDescent="0.25">
      <c r="J155" s="387"/>
      <c r="K155" s="387"/>
      <c r="L155" s="387"/>
      <c r="M155" s="387"/>
      <c r="P155" s="387"/>
      <c r="Q155" s="387"/>
      <c r="R155" s="387"/>
      <c r="S155" s="387"/>
      <c r="BE155" s="226">
        <v>3</v>
      </c>
      <c r="BF155" s="179">
        <f>LARGE($BH$145:$BH$149,BE155)</f>
        <v>2.0030000000000001</v>
      </c>
      <c r="BG155" s="180">
        <f>VLOOKUP(BF155,$BH$145:$BJ$149,3,FALSE)</f>
        <v>40</v>
      </c>
      <c r="BH155" s="220">
        <f t="shared" si="15"/>
        <v>40</v>
      </c>
      <c r="BI155" s="220">
        <f t="shared" si="15"/>
        <v>40</v>
      </c>
      <c r="BJ155" s="220">
        <f t="shared" si="15"/>
        <v>29</v>
      </c>
      <c r="BK155" s="220">
        <f t="shared" si="15"/>
        <v>51</v>
      </c>
      <c r="BM155" s="226">
        <v>3</v>
      </c>
      <c r="BN155" s="179">
        <f t="shared" si="18"/>
        <v>5.0000000000000001E-3</v>
      </c>
      <c r="BO155" s="180">
        <f t="shared" si="19"/>
        <v>46</v>
      </c>
      <c r="BP155" s="220">
        <f t="shared" si="20"/>
        <v>44</v>
      </c>
      <c r="BQ155" s="220">
        <f t="shared" si="16"/>
        <v>49</v>
      </c>
      <c r="BR155" s="220">
        <f t="shared" si="16"/>
        <v>35</v>
      </c>
      <c r="BS155" s="220">
        <f t="shared" si="16"/>
        <v>56</v>
      </c>
      <c r="BU155" s="226">
        <v>3</v>
      </c>
      <c r="BV155" s="179">
        <f t="shared" si="21"/>
        <v>3.0000000000000001E-3</v>
      </c>
      <c r="BW155" s="180">
        <f t="shared" si="22"/>
        <v>40</v>
      </c>
      <c r="BX155" s="220">
        <f t="shared" si="23"/>
        <v>40</v>
      </c>
      <c r="BY155" s="220">
        <f t="shared" si="24"/>
        <v>40</v>
      </c>
      <c r="BZ155" s="220">
        <f t="shared" si="25"/>
        <v>29</v>
      </c>
      <c r="CA155" s="220">
        <f t="shared" si="26"/>
        <v>51</v>
      </c>
    </row>
    <row r="156" spans="3:88" ht="24" hidden="1" customHeight="1" x14ac:dyDescent="0.25">
      <c r="J156" s="387"/>
      <c r="K156" s="387"/>
      <c r="L156" s="387"/>
      <c r="M156" s="387"/>
      <c r="P156" s="387"/>
      <c r="Q156" s="387"/>
      <c r="R156" s="387"/>
      <c r="S156" s="387"/>
      <c r="AA156" s="165"/>
      <c r="BE156" s="226">
        <v>4</v>
      </c>
      <c r="BF156" s="179">
        <f>LARGE($BH$145:$BH$149,BE156)</f>
        <v>2.0019999999999998</v>
      </c>
      <c r="BG156" s="180">
        <f>VLOOKUP(BF156,$BH$145:$BJ$149,3,FALSE)</f>
        <v>36</v>
      </c>
      <c r="BH156" s="220">
        <f t="shared" si="15"/>
        <v>36</v>
      </c>
      <c r="BI156" s="220">
        <f t="shared" si="15"/>
        <v>35</v>
      </c>
      <c r="BJ156" s="220">
        <f t="shared" si="15"/>
        <v>24</v>
      </c>
      <c r="BK156" s="220">
        <f t="shared" si="15"/>
        <v>45</v>
      </c>
      <c r="BM156" s="226">
        <v>4</v>
      </c>
      <c r="BN156" s="179">
        <f t="shared" si="18"/>
        <v>4.0000000000000001E-3</v>
      </c>
      <c r="BO156" s="180">
        <f t="shared" si="19"/>
        <v>44</v>
      </c>
      <c r="BP156" s="220">
        <f t="shared" si="20"/>
        <v>42</v>
      </c>
      <c r="BQ156" s="220">
        <f t="shared" si="16"/>
        <v>49</v>
      </c>
      <c r="BR156" s="220">
        <f t="shared" si="16"/>
        <v>33</v>
      </c>
      <c r="BS156" s="220">
        <f t="shared" si="16"/>
        <v>56</v>
      </c>
      <c r="BU156" s="226">
        <v>4</v>
      </c>
      <c r="BV156" s="179">
        <f t="shared" si="21"/>
        <v>2E-3</v>
      </c>
      <c r="BW156" s="180">
        <f t="shared" si="22"/>
        <v>36</v>
      </c>
      <c r="BX156" s="220">
        <f t="shared" si="23"/>
        <v>36</v>
      </c>
      <c r="BY156" s="220">
        <f t="shared" si="24"/>
        <v>35</v>
      </c>
      <c r="BZ156" s="220">
        <f t="shared" si="25"/>
        <v>24</v>
      </c>
      <c r="CA156" s="220">
        <f t="shared" si="26"/>
        <v>45</v>
      </c>
    </row>
    <row r="157" spans="3:88" ht="24" hidden="1" customHeight="1" x14ac:dyDescent="0.3">
      <c r="J157" s="221">
        <f>F146</f>
        <v>34</v>
      </c>
      <c r="K157" s="221" t="e">
        <f>K146</f>
        <v>#NUM!</v>
      </c>
      <c r="L157" s="221" t="e">
        <f>P146</f>
        <v>#NUM!</v>
      </c>
      <c r="M157" s="221">
        <f>V146</f>
        <v>34</v>
      </c>
      <c r="P157" s="221">
        <f>F139</f>
        <v>46</v>
      </c>
      <c r="Q157" s="221" t="e">
        <f>K139</f>
        <v>#NUM!</v>
      </c>
      <c r="R157" s="221" t="e">
        <f>P139</f>
        <v>#NUM!</v>
      </c>
      <c r="S157" s="221">
        <f>V139</f>
        <v>46</v>
      </c>
      <c r="AA157" s="165"/>
      <c r="BE157" s="226">
        <v>5</v>
      </c>
      <c r="BF157" s="179">
        <f>LARGE($BH$145:$BH$149,BE157)</f>
        <v>2.0009999999999999</v>
      </c>
      <c r="BG157" s="180">
        <f>VLOOKUP(BF157,$BH$145:$BJ$149,3,FALSE)</f>
        <v>34</v>
      </c>
      <c r="BH157" s="220">
        <f t="shared" si="15"/>
        <v>32</v>
      </c>
      <c r="BI157" s="220">
        <f t="shared" si="15"/>
        <v>32</v>
      </c>
      <c r="BJ157" s="220">
        <f t="shared" si="15"/>
        <v>24</v>
      </c>
      <c r="BK157" s="220">
        <f t="shared" si="15"/>
        <v>39</v>
      </c>
      <c r="BM157" s="226">
        <v>5</v>
      </c>
      <c r="BN157" s="179">
        <f t="shared" si="18"/>
        <v>3.0000000000000001E-3</v>
      </c>
      <c r="BO157" s="180">
        <f t="shared" si="19"/>
        <v>40</v>
      </c>
      <c r="BP157" s="220">
        <f t="shared" si="20"/>
        <v>40</v>
      </c>
      <c r="BQ157" s="220">
        <f t="shared" si="16"/>
        <v>40</v>
      </c>
      <c r="BR157" s="220">
        <f t="shared" si="16"/>
        <v>29</v>
      </c>
      <c r="BS157" s="220">
        <f t="shared" si="16"/>
        <v>51</v>
      </c>
      <c r="BU157" s="226">
        <v>5</v>
      </c>
      <c r="BV157" s="179">
        <f t="shared" si="21"/>
        <v>1E-3</v>
      </c>
      <c r="BW157" s="180">
        <f t="shared" si="22"/>
        <v>34</v>
      </c>
      <c r="BX157" s="220">
        <f t="shared" si="23"/>
        <v>32</v>
      </c>
      <c r="BY157" s="220">
        <f t="shared" si="24"/>
        <v>32</v>
      </c>
      <c r="BZ157" s="220">
        <f t="shared" si="25"/>
        <v>24</v>
      </c>
      <c r="CA157" s="220">
        <f t="shared" si="26"/>
        <v>39</v>
      </c>
    </row>
    <row r="158" spans="3:88" ht="15" hidden="1" customHeight="1" x14ac:dyDescent="0.3">
      <c r="J158" s="221">
        <f>IF(ISERR(F147)=TRUE,"",F147)</f>
        <v>36</v>
      </c>
      <c r="K158" s="221" t="str">
        <f>IF(ISERR(K147)=TRUE,"",K147)</f>
        <v/>
      </c>
      <c r="L158" s="221" t="str">
        <f>IF(ISERR(P147)=TRUE,"",P147)</f>
        <v/>
      </c>
      <c r="M158" s="221">
        <f>IF(ISERR(V147)=TRUE,"",V147)</f>
        <v>36</v>
      </c>
      <c r="P158" s="221">
        <f>IF(ISERR(F140)=TRUE,"",F140)</f>
        <v>44</v>
      </c>
      <c r="Q158" s="221" t="str">
        <f>IF(ISERR(K140)=TRUE,"",K140)</f>
        <v/>
      </c>
      <c r="R158" s="221" t="str">
        <f>IF(ISERR(P140)=TRUE,"",P140)</f>
        <v/>
      </c>
      <c r="S158" s="221">
        <f>IF(ISERR(V140)=TRUE,"",V140)</f>
        <v>44</v>
      </c>
      <c r="AA158" s="165"/>
    </row>
    <row r="159" spans="3:88" ht="15" hidden="1" customHeight="1" x14ac:dyDescent="0.25"/>
    <row r="160" spans="3:88" hidden="1" x14ac:dyDescent="0.25"/>
    <row r="161" spans="3:76" ht="15.75" hidden="1" thickBot="1" x14ac:dyDescent="0.3"/>
    <row r="162" spans="3:76" hidden="1" x14ac:dyDescent="0.25"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BH162" s="323" t="str">
        <f>BM53</f>
        <v>PELO GENERO</v>
      </c>
      <c r="BI162" s="324"/>
      <c r="BJ162" s="324"/>
      <c r="BK162" s="325"/>
      <c r="BO162" s="335" t="s">
        <v>202</v>
      </c>
      <c r="BP162" s="335"/>
      <c r="BR162" s="336" t="s">
        <v>203</v>
      </c>
      <c r="BS162" s="336"/>
      <c r="BW162" s="337" t="s">
        <v>269</v>
      </c>
      <c r="BX162" s="337"/>
    </row>
    <row r="163" spans="3:76" hidden="1" x14ac:dyDescent="0.25">
      <c r="BH163" s="326"/>
      <c r="BI163" s="327"/>
      <c r="BJ163" s="327"/>
      <c r="BK163" s="328"/>
      <c r="BO163" s="335"/>
      <c r="BP163" s="335"/>
      <c r="BR163" s="336"/>
      <c r="BS163" s="336"/>
      <c r="BW163" s="337"/>
      <c r="BX163" s="337"/>
    </row>
    <row r="164" spans="3:76" hidden="1" x14ac:dyDescent="0.25">
      <c r="BH164" s="329" t="str">
        <f>BM55</f>
        <v/>
      </c>
      <c r="BI164" s="330"/>
      <c r="BJ164" s="330"/>
      <c r="BK164" s="331"/>
      <c r="BO164" s="320" t="str">
        <f>IF(BH164="JUSTA",CF145,IF(BH164="FOLGADA",CJ145,""))</f>
        <v/>
      </c>
      <c r="BP164" s="320"/>
      <c r="BR164" s="321" t="str">
        <f>IF(BH164="JUSTA",CF146,IF(BH164="FOLGADA",CJ146,""))</f>
        <v/>
      </c>
      <c r="BS164" s="321"/>
      <c r="BW164" s="322" t="str">
        <f>IF(BH164="JUSTA",CF147,IF(BH164="FOLGADA",CJ147,""))</f>
        <v/>
      </c>
      <c r="BX164" s="322"/>
    </row>
    <row r="165" spans="3:76" ht="24" hidden="1" thickBot="1" x14ac:dyDescent="0.4">
      <c r="F165" s="231">
        <v>1</v>
      </c>
      <c r="H165" s="232">
        <v>34</v>
      </c>
      <c r="J165" s="233">
        <f>IF(F122="NÃO",1,0)</f>
        <v>0</v>
      </c>
      <c r="K165" s="234"/>
      <c r="L165" s="233">
        <f>IF(L122="NÃO",1,0)</f>
        <v>0</v>
      </c>
      <c r="M165" s="234"/>
      <c r="N165" s="233">
        <f>IF(Q122="NÃO",1,0)</f>
        <v>0</v>
      </c>
      <c r="O165" s="234"/>
      <c r="P165" s="233">
        <f>IF(V122="NÃO",1,0)</f>
        <v>0</v>
      </c>
      <c r="S165" s="235" t="str">
        <f>IF(SUM(J165:P165)&gt;0,H165,"")</f>
        <v/>
      </c>
      <c r="U165" s="236">
        <f>IF(SUM(J165:P165)=0,H165,"")</f>
        <v>34</v>
      </c>
      <c r="BH165" s="332"/>
      <c r="BI165" s="333"/>
      <c r="BJ165" s="333"/>
      <c r="BK165" s="334"/>
      <c r="BO165" s="320"/>
      <c r="BP165" s="320"/>
      <c r="BR165" s="321"/>
      <c r="BS165" s="321"/>
      <c r="BW165" s="322"/>
      <c r="BX165" s="322"/>
    </row>
    <row r="166" spans="3:76" ht="23.25" hidden="1" x14ac:dyDescent="0.35">
      <c r="F166" s="231">
        <v>2</v>
      </c>
      <c r="H166" s="232">
        <v>36</v>
      </c>
      <c r="J166" s="233">
        <f t="shared" ref="J166:J169" si="27">IF(F123="NÃO",1,0)</f>
        <v>0</v>
      </c>
      <c r="K166" s="234"/>
      <c r="L166" s="233">
        <f t="shared" ref="L166:L169" si="28">IF(L123="NÃO",1,0)</f>
        <v>0</v>
      </c>
      <c r="M166" s="234"/>
      <c r="N166" s="233">
        <f t="shared" ref="N166:N169" si="29">IF(Q123="NÃO",1,0)</f>
        <v>0</v>
      </c>
      <c r="O166" s="234"/>
      <c r="P166" s="233">
        <f t="shared" ref="P166:P169" si="30">IF(V123="NÃO",1,0)</f>
        <v>0</v>
      </c>
      <c r="S166" s="235" t="str">
        <f t="shared" ref="S166:S169" si="31">IF(SUM(J166:P166)&gt;0,H166,"")</f>
        <v/>
      </c>
      <c r="U166" s="236">
        <f t="shared" ref="U166:U169" si="32">IF(SUM(J166:P166)=0,H166,"")</f>
        <v>36</v>
      </c>
    </row>
    <row r="167" spans="3:76" ht="23.25" hidden="1" x14ac:dyDescent="0.35">
      <c r="F167" s="231">
        <v>3</v>
      </c>
      <c r="H167" s="232">
        <v>40</v>
      </c>
      <c r="J167" s="233">
        <f t="shared" si="27"/>
        <v>0</v>
      </c>
      <c r="K167" s="234"/>
      <c r="L167" s="233">
        <f t="shared" si="28"/>
        <v>0</v>
      </c>
      <c r="M167" s="234"/>
      <c r="N167" s="233">
        <f t="shared" si="29"/>
        <v>0</v>
      </c>
      <c r="O167" s="234"/>
      <c r="P167" s="233">
        <f t="shared" si="30"/>
        <v>0</v>
      </c>
      <c r="S167" s="235" t="str">
        <f t="shared" si="31"/>
        <v/>
      </c>
      <c r="U167" s="236">
        <f t="shared" si="32"/>
        <v>40</v>
      </c>
    </row>
    <row r="168" spans="3:76" ht="23.25" hidden="1" x14ac:dyDescent="0.35">
      <c r="F168" s="231">
        <v>4</v>
      </c>
      <c r="H168" s="232">
        <v>44</v>
      </c>
      <c r="J168" s="233">
        <f t="shared" si="27"/>
        <v>0</v>
      </c>
      <c r="K168" s="234"/>
      <c r="L168" s="233">
        <f t="shared" si="28"/>
        <v>0</v>
      </c>
      <c r="M168" s="234"/>
      <c r="N168" s="233">
        <f t="shared" si="29"/>
        <v>0</v>
      </c>
      <c r="O168" s="234"/>
      <c r="P168" s="233">
        <f t="shared" si="30"/>
        <v>0</v>
      </c>
      <c r="S168" s="235" t="str">
        <f t="shared" si="31"/>
        <v/>
      </c>
      <c r="U168" s="236">
        <f t="shared" si="32"/>
        <v>44</v>
      </c>
    </row>
    <row r="169" spans="3:76" ht="23.25" hidden="1" x14ac:dyDescent="0.35">
      <c r="F169" s="231">
        <v>5</v>
      </c>
      <c r="H169" s="232">
        <v>46</v>
      </c>
      <c r="J169" s="233">
        <f t="shared" si="27"/>
        <v>0</v>
      </c>
      <c r="K169" s="234"/>
      <c r="L169" s="233">
        <f t="shared" si="28"/>
        <v>0</v>
      </c>
      <c r="M169" s="234"/>
      <c r="N169" s="233">
        <f t="shared" si="29"/>
        <v>0</v>
      </c>
      <c r="O169" s="234"/>
      <c r="P169" s="233">
        <f t="shared" si="30"/>
        <v>0</v>
      </c>
      <c r="S169" s="235" t="str">
        <f t="shared" si="31"/>
        <v/>
      </c>
      <c r="U169" s="236">
        <f t="shared" si="32"/>
        <v>46</v>
      </c>
      <c r="BO169" s="180" t="str">
        <f>IF($BH$164="JUSTA",BO153,IF($BH$164="FOLGADA",BW153,""))</f>
        <v/>
      </c>
      <c r="BP169" s="220" t="str">
        <f t="shared" ref="BP169:BS169" si="33">IF($BH$164="JUSTA",BP153,IF($BH$164="FOLGADA",BX153,""))</f>
        <v/>
      </c>
      <c r="BQ169" s="220" t="str">
        <f t="shared" si="33"/>
        <v/>
      </c>
      <c r="BR169" s="220" t="str">
        <f t="shared" si="33"/>
        <v/>
      </c>
      <c r="BS169" s="220" t="str">
        <f t="shared" si="33"/>
        <v/>
      </c>
    </row>
    <row r="170" spans="3:76" hidden="1" x14ac:dyDescent="0.25">
      <c r="BO170" s="180" t="str">
        <f t="shared" ref="BO170:BS170" si="34">IF($BH$164="JUSTA",BO154,IF($BH$164="FOLGADA",BW154,""))</f>
        <v/>
      </c>
      <c r="BP170" s="220" t="str">
        <f t="shared" si="34"/>
        <v/>
      </c>
      <c r="BQ170" s="220" t="str">
        <f t="shared" si="34"/>
        <v/>
      </c>
      <c r="BR170" s="220" t="str">
        <f t="shared" si="34"/>
        <v/>
      </c>
      <c r="BS170" s="220" t="str">
        <f t="shared" si="34"/>
        <v/>
      </c>
    </row>
    <row r="171" spans="3:76" hidden="1" x14ac:dyDescent="0.25">
      <c r="BO171" s="180" t="str">
        <f t="shared" ref="BO171:BS171" si="35">IF($BH$164="JUSTA",BO155,IF($BH$164="FOLGADA",BW155,""))</f>
        <v/>
      </c>
      <c r="BP171" s="220" t="str">
        <f t="shared" si="35"/>
        <v/>
      </c>
      <c r="BQ171" s="220" t="str">
        <f t="shared" si="35"/>
        <v/>
      </c>
      <c r="BR171" s="220" t="str">
        <f t="shared" si="35"/>
        <v/>
      </c>
      <c r="BS171" s="220" t="str">
        <f t="shared" si="35"/>
        <v/>
      </c>
    </row>
    <row r="172" spans="3:76" hidden="1" x14ac:dyDescent="0.25">
      <c r="BO172" s="237"/>
      <c r="BP172" s="238"/>
      <c r="BQ172" s="238"/>
      <c r="BR172" s="238"/>
      <c r="BS172" s="238"/>
    </row>
    <row r="173" spans="3:76" hidden="1" x14ac:dyDescent="0.25">
      <c r="BO173" s="237"/>
      <c r="BP173" s="238"/>
      <c r="BQ173" s="238"/>
      <c r="BR173" s="238"/>
      <c r="BS173" s="238"/>
    </row>
    <row r="174" spans="3:76" ht="23.25" hidden="1" x14ac:dyDescent="0.35">
      <c r="G174" s="239" t="e">
        <f>LARGE($S$165:$S$169,F165)</f>
        <v>#NUM!</v>
      </c>
      <c r="H174" s="240" t="str">
        <f>IF(ISERR(G174)=TRUE,"",G174)</f>
        <v/>
      </c>
      <c r="J174" s="220" t="str">
        <f>IF(ISERROR(O174)=TRUE,"",O174)</f>
        <v/>
      </c>
      <c r="K174" s="220" t="str">
        <f t="shared" ref="K174:M178" si="36">IF(ISERROR(P174)=TRUE,"",P174)</f>
        <v/>
      </c>
      <c r="L174" s="220" t="str">
        <f t="shared" si="36"/>
        <v/>
      </c>
      <c r="M174" s="220" t="str">
        <f t="shared" si="36"/>
        <v/>
      </c>
      <c r="O174" s="220" t="e">
        <f t="shared" ref="O174:R178" si="37">VLOOKUP($H174,$BO$129:$BS$134,BP$122,FALSE)</f>
        <v>#N/A</v>
      </c>
      <c r="P174" s="220" t="e">
        <f t="shared" si="37"/>
        <v>#N/A</v>
      </c>
      <c r="Q174" s="220" t="e">
        <f t="shared" si="37"/>
        <v>#N/A</v>
      </c>
      <c r="R174" s="220" t="e">
        <f t="shared" si="37"/>
        <v>#N/A</v>
      </c>
    </row>
    <row r="175" spans="3:76" ht="23.25" hidden="1" x14ac:dyDescent="0.35">
      <c r="G175" s="239" t="e">
        <f t="shared" ref="G175:G178" si="38">LARGE($S$165:$S$169,F166)</f>
        <v>#NUM!</v>
      </c>
      <c r="H175" s="240" t="str">
        <f t="shared" ref="H175:H178" si="39">IF(ISERR(G175)=TRUE,"",G175)</f>
        <v/>
      </c>
      <c r="J175" s="220" t="str">
        <f t="shared" ref="J175:J178" si="40">IF(ISERROR(O175)=TRUE,"",O175)</f>
        <v/>
      </c>
      <c r="K175" s="220" t="str">
        <f t="shared" si="36"/>
        <v/>
      </c>
      <c r="L175" s="220" t="str">
        <f t="shared" si="36"/>
        <v/>
      </c>
      <c r="M175" s="220" t="str">
        <f t="shared" si="36"/>
        <v/>
      </c>
      <c r="O175" s="220" t="e">
        <f t="shared" si="37"/>
        <v>#N/A</v>
      </c>
      <c r="P175" s="220" t="e">
        <f t="shared" si="37"/>
        <v>#N/A</v>
      </c>
      <c r="Q175" s="220" t="e">
        <f t="shared" si="37"/>
        <v>#N/A</v>
      </c>
      <c r="R175" s="220" t="e">
        <f t="shared" si="37"/>
        <v>#N/A</v>
      </c>
    </row>
    <row r="176" spans="3:76" ht="23.25" hidden="1" x14ac:dyDescent="0.35">
      <c r="G176" s="239" t="e">
        <f t="shared" si="38"/>
        <v>#NUM!</v>
      </c>
      <c r="H176" s="240" t="str">
        <f t="shared" si="39"/>
        <v/>
      </c>
      <c r="J176" s="220" t="str">
        <f t="shared" si="40"/>
        <v/>
      </c>
      <c r="K176" s="220" t="str">
        <f t="shared" si="36"/>
        <v/>
      </c>
      <c r="L176" s="220" t="str">
        <f t="shared" si="36"/>
        <v/>
      </c>
      <c r="M176" s="220" t="str">
        <f t="shared" si="36"/>
        <v/>
      </c>
      <c r="O176" s="220" t="e">
        <f t="shared" si="37"/>
        <v>#N/A</v>
      </c>
      <c r="P176" s="220" t="e">
        <f t="shared" si="37"/>
        <v>#N/A</v>
      </c>
      <c r="Q176" s="220" t="e">
        <f t="shared" si="37"/>
        <v>#N/A</v>
      </c>
      <c r="R176" s="220" t="e">
        <f t="shared" si="37"/>
        <v>#N/A</v>
      </c>
    </row>
    <row r="177" spans="7:18" ht="23.25" hidden="1" x14ac:dyDescent="0.35">
      <c r="G177" s="239" t="e">
        <f t="shared" si="38"/>
        <v>#NUM!</v>
      </c>
      <c r="H177" s="240" t="str">
        <f t="shared" si="39"/>
        <v/>
      </c>
      <c r="J177" s="220" t="str">
        <f t="shared" si="40"/>
        <v/>
      </c>
      <c r="K177" s="220" t="str">
        <f t="shared" si="36"/>
        <v/>
      </c>
      <c r="L177" s="220" t="str">
        <f t="shared" si="36"/>
        <v/>
      </c>
      <c r="M177" s="220" t="str">
        <f t="shared" si="36"/>
        <v/>
      </c>
      <c r="O177" s="220" t="e">
        <f t="shared" si="37"/>
        <v>#N/A</v>
      </c>
      <c r="P177" s="220" t="e">
        <f t="shared" si="37"/>
        <v>#N/A</v>
      </c>
      <c r="Q177" s="220" t="e">
        <f t="shared" si="37"/>
        <v>#N/A</v>
      </c>
      <c r="R177" s="220" t="e">
        <f t="shared" si="37"/>
        <v>#N/A</v>
      </c>
    </row>
    <row r="178" spans="7:18" ht="23.25" hidden="1" x14ac:dyDescent="0.35">
      <c r="G178" s="239" t="e">
        <f t="shared" si="38"/>
        <v>#NUM!</v>
      </c>
      <c r="H178" s="240" t="str">
        <f t="shared" si="39"/>
        <v/>
      </c>
      <c r="J178" s="220" t="str">
        <f t="shared" si="40"/>
        <v/>
      </c>
      <c r="K178" s="220" t="str">
        <f t="shared" si="36"/>
        <v/>
      </c>
      <c r="L178" s="220" t="str">
        <f t="shared" si="36"/>
        <v/>
      </c>
      <c r="M178" s="220" t="str">
        <f t="shared" si="36"/>
        <v/>
      </c>
      <c r="O178" s="220" t="e">
        <f t="shared" si="37"/>
        <v>#N/A</v>
      </c>
      <c r="P178" s="220" t="e">
        <f t="shared" si="37"/>
        <v>#N/A</v>
      </c>
      <c r="Q178" s="220" t="e">
        <f t="shared" si="37"/>
        <v>#N/A</v>
      </c>
      <c r="R178" s="220" t="e">
        <f t="shared" si="37"/>
        <v>#N/A</v>
      </c>
    </row>
    <row r="179" spans="7:18" hidden="1" x14ac:dyDescent="0.25"/>
    <row r="180" spans="7:18" hidden="1" x14ac:dyDescent="0.25"/>
    <row r="181" spans="7:18" ht="23.25" hidden="1" x14ac:dyDescent="0.35">
      <c r="G181" s="239">
        <f>SMALL($U$165:$U$169,F165)</f>
        <v>34</v>
      </c>
      <c r="H181" s="241">
        <f>IF(ISERR(G181)=TRUE,"",G181)</f>
        <v>34</v>
      </c>
      <c r="J181" s="220">
        <f>IF(ISERROR(O181)=TRUE,"",O181)</f>
        <v>32</v>
      </c>
      <c r="K181" s="220">
        <f t="shared" ref="K181:K185" si="41">IF(ISERROR(P181)=TRUE,"",P181)</f>
        <v>32</v>
      </c>
      <c r="L181" s="220">
        <f t="shared" ref="L181:L185" si="42">IF(ISERROR(Q181)=TRUE,"",Q181)</f>
        <v>24</v>
      </c>
      <c r="M181" s="220">
        <f t="shared" ref="M181:M185" si="43">IF(ISERROR(R181)=TRUE,"",R181)</f>
        <v>39</v>
      </c>
      <c r="O181" s="220">
        <f>VLOOKUP($H181,$BO$129:$BS$134,BP$122,FALSE)</f>
        <v>32</v>
      </c>
      <c r="P181" s="220">
        <f>VLOOKUP($H181,$BO$129:$BS$134,BQ$122,FALSE)</f>
        <v>32</v>
      </c>
      <c r="Q181" s="220">
        <f>VLOOKUP($H181,$BO$129:$BS$134,BR$122,FALSE)</f>
        <v>24</v>
      </c>
      <c r="R181" s="220">
        <f>VLOOKUP($H181,$BO$129:$BS$134,BS$122,FALSE)</f>
        <v>39</v>
      </c>
    </row>
    <row r="182" spans="7:18" ht="23.25" hidden="1" x14ac:dyDescent="0.35">
      <c r="G182" s="239">
        <f>SMALL($U$165:$U$169,F166)</f>
        <v>36</v>
      </c>
      <c r="H182" s="241">
        <f>IF(ISERR(G182)=TRUE,"",G182)</f>
        <v>36</v>
      </c>
      <c r="J182" s="220">
        <f t="shared" ref="J182:J185" si="44">IF(ISERROR(O182)=TRUE,"",O182)</f>
        <v>36</v>
      </c>
      <c r="K182" s="220">
        <f t="shared" si="41"/>
        <v>35</v>
      </c>
      <c r="L182" s="220">
        <f t="shared" si="42"/>
        <v>24</v>
      </c>
      <c r="M182" s="220">
        <f t="shared" si="43"/>
        <v>45</v>
      </c>
      <c r="O182" s="220">
        <f t="shared" ref="O182:O185" si="45">VLOOKUP($H182,$BO$129:$BS$134,BP$122,FALSE)</f>
        <v>36</v>
      </c>
      <c r="P182" s="220">
        <f t="shared" ref="P182:P185" si="46">VLOOKUP($H182,$BO$129:$BS$134,BQ$122,FALSE)</f>
        <v>35</v>
      </c>
      <c r="Q182" s="220">
        <f t="shared" ref="Q182:Q185" si="47">VLOOKUP($H182,$BO$129:$BS$134,BR$122,FALSE)</f>
        <v>24</v>
      </c>
      <c r="R182" s="220">
        <f t="shared" ref="R182:R185" si="48">VLOOKUP($H182,$BO$129:$BS$134,BS$122,FALSE)</f>
        <v>45</v>
      </c>
    </row>
    <row r="183" spans="7:18" ht="23.25" hidden="1" x14ac:dyDescent="0.35">
      <c r="G183" s="239">
        <f>SMALL($U$165:$U$169,F167)</f>
        <v>40</v>
      </c>
      <c r="H183" s="241">
        <f>IF(ISERR(G183)=TRUE,"",G183)</f>
        <v>40</v>
      </c>
      <c r="J183" s="220">
        <f t="shared" si="44"/>
        <v>40</v>
      </c>
      <c r="K183" s="220">
        <f t="shared" si="41"/>
        <v>40</v>
      </c>
      <c r="L183" s="220">
        <f t="shared" si="42"/>
        <v>29</v>
      </c>
      <c r="M183" s="220">
        <f t="shared" si="43"/>
        <v>51</v>
      </c>
      <c r="O183" s="220">
        <f t="shared" si="45"/>
        <v>40</v>
      </c>
      <c r="P183" s="220">
        <f t="shared" si="46"/>
        <v>40</v>
      </c>
      <c r="Q183" s="220">
        <f t="shared" si="47"/>
        <v>29</v>
      </c>
      <c r="R183" s="220">
        <f t="shared" si="48"/>
        <v>51</v>
      </c>
    </row>
    <row r="184" spans="7:18" ht="23.25" hidden="1" x14ac:dyDescent="0.35">
      <c r="G184" s="239">
        <f>SMALL($U$165:$U$169,F168)</f>
        <v>44</v>
      </c>
      <c r="H184" s="241">
        <f>IF(ISERR(G184)=TRUE,"",G184)</f>
        <v>44</v>
      </c>
      <c r="J184" s="220">
        <f t="shared" si="44"/>
        <v>42</v>
      </c>
      <c r="K184" s="220">
        <f t="shared" si="41"/>
        <v>49</v>
      </c>
      <c r="L184" s="220">
        <f t="shared" si="42"/>
        <v>33</v>
      </c>
      <c r="M184" s="220">
        <f t="shared" si="43"/>
        <v>56</v>
      </c>
      <c r="O184" s="220">
        <f t="shared" si="45"/>
        <v>42</v>
      </c>
      <c r="P184" s="220">
        <f t="shared" si="46"/>
        <v>49</v>
      </c>
      <c r="Q184" s="220">
        <f t="shared" si="47"/>
        <v>33</v>
      </c>
      <c r="R184" s="220">
        <f t="shared" si="48"/>
        <v>56</v>
      </c>
    </row>
    <row r="185" spans="7:18" ht="23.25" hidden="1" x14ac:dyDescent="0.35">
      <c r="G185" s="239">
        <f>SMALL($U$165:$U$169,F169)</f>
        <v>46</v>
      </c>
      <c r="H185" s="241">
        <f>IF(ISERR(G185)=TRUE,"",G185)</f>
        <v>46</v>
      </c>
      <c r="J185" s="220">
        <f t="shared" si="44"/>
        <v>44</v>
      </c>
      <c r="K185" s="220">
        <f t="shared" si="41"/>
        <v>49</v>
      </c>
      <c r="L185" s="220">
        <f t="shared" si="42"/>
        <v>35</v>
      </c>
      <c r="M185" s="220">
        <f t="shared" si="43"/>
        <v>56</v>
      </c>
      <c r="O185" s="220">
        <f t="shared" si="45"/>
        <v>44</v>
      </c>
      <c r="P185" s="220">
        <f t="shared" si="46"/>
        <v>49</v>
      </c>
      <c r="Q185" s="220">
        <f t="shared" si="47"/>
        <v>35</v>
      </c>
      <c r="R185" s="220">
        <f t="shared" si="48"/>
        <v>56</v>
      </c>
    </row>
    <row r="186" spans="7:18" hidden="1" x14ac:dyDescent="0.25"/>
    <row r="187" spans="7:18" hidden="1" x14ac:dyDescent="0.25"/>
    <row r="188" spans="7:18" hidden="1" x14ac:dyDescent="0.25"/>
    <row r="189" spans="7:18" hidden="1" x14ac:dyDescent="0.25"/>
    <row r="190" spans="7:18" hidden="1" x14ac:dyDescent="0.25"/>
    <row r="191" spans="7:18" hidden="1" x14ac:dyDescent="0.25"/>
    <row r="192" spans="7:18" hidden="1" x14ac:dyDescent="0.25"/>
    <row r="193" hidden="1" x14ac:dyDescent="0.25"/>
    <row r="194" hidden="1" x14ac:dyDescent="0.25"/>
    <row r="195" hidden="1" x14ac:dyDescent="0.25"/>
    <row r="196" hidden="1" x14ac:dyDescent="0.25"/>
    <row r="197" hidden="1" x14ac:dyDescent="0.25"/>
    <row r="198" hidden="1" x14ac:dyDescent="0.25"/>
    <row r="199" hidden="1" x14ac:dyDescent="0.25"/>
    <row r="200" hidden="1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</sheetData>
  <sheetProtection algorithmName="SHA-512" hashValue="ctKVxFh9eZ1yAt5IKlpQZVQaeujgsAGZ/+Ns10M5kKVRHO5+LNXuVcBs7brB0rzZ9tDzDrbDyELK1saI3GQVOg==" saltValue="vCfk53ZyDiYAJbr83xgwuQ==" spinCount="100000" sheet="1" objects="1" scenarios="1" selectLockedCells="1"/>
  <mergeCells count="94">
    <mergeCell ref="F48:G49"/>
    <mergeCell ref="K48:L49"/>
    <mergeCell ref="P48:Q49"/>
    <mergeCell ref="U48:V49"/>
    <mergeCell ref="J55:P60"/>
    <mergeCell ref="U59:V61"/>
    <mergeCell ref="U55:V56"/>
    <mergeCell ref="U57:V58"/>
    <mergeCell ref="R59:S61"/>
    <mergeCell ref="X55:Y56"/>
    <mergeCell ref="X57:Y58"/>
    <mergeCell ref="X59:Y61"/>
    <mergeCell ref="X62:Y63"/>
    <mergeCell ref="G77:H77"/>
    <mergeCell ref="J62:O69"/>
    <mergeCell ref="P62:Q63"/>
    <mergeCell ref="R62:S63"/>
    <mergeCell ref="R64:S65"/>
    <mergeCell ref="P64:Q65"/>
    <mergeCell ref="P66:Q67"/>
    <mergeCell ref="P68:Q69"/>
    <mergeCell ref="R68:S69"/>
    <mergeCell ref="R66:S67"/>
    <mergeCell ref="R55:S56"/>
    <mergeCell ref="R57:S58"/>
    <mergeCell ref="X68:Y69"/>
    <mergeCell ref="AE68:AF69"/>
    <mergeCell ref="AH68:AI69"/>
    <mergeCell ref="AK68:AL69"/>
    <mergeCell ref="U62:V63"/>
    <mergeCell ref="U68:V69"/>
    <mergeCell ref="AE66:AF67"/>
    <mergeCell ref="AH66:AI67"/>
    <mergeCell ref="AK66:AL67"/>
    <mergeCell ref="X64:Y65"/>
    <mergeCell ref="AE64:AF65"/>
    <mergeCell ref="AH64:AI65"/>
    <mergeCell ref="AK64:AL65"/>
    <mergeCell ref="X66:Y67"/>
    <mergeCell ref="U66:V67"/>
    <mergeCell ref="U64:V65"/>
    <mergeCell ref="J154:M156"/>
    <mergeCell ref="P154:S156"/>
    <mergeCell ref="BP123:BP128"/>
    <mergeCell ref="BQ123:BQ128"/>
    <mergeCell ref="BR123:BR128"/>
    <mergeCell ref="BO123:BO128"/>
    <mergeCell ref="BH136:BK137"/>
    <mergeCell ref="BP136:BS137"/>
    <mergeCell ref="T26:V27"/>
    <mergeCell ref="Q26:R27"/>
    <mergeCell ref="T6:X8"/>
    <mergeCell ref="T12:X14"/>
    <mergeCell ref="T17:X19"/>
    <mergeCell ref="W26:X27"/>
    <mergeCell ref="H23:V24"/>
    <mergeCell ref="F12:K14"/>
    <mergeCell ref="F17:K19"/>
    <mergeCell ref="M12:R14"/>
    <mergeCell ref="M17:R19"/>
    <mergeCell ref="N26:P27"/>
    <mergeCell ref="E26:G27"/>
    <mergeCell ref="H26:L27"/>
    <mergeCell ref="M6:R8"/>
    <mergeCell ref="BM53:BP54"/>
    <mergeCell ref="BM55:BP56"/>
    <mergeCell ref="BR37:BS38"/>
    <mergeCell ref="BJ37:BK38"/>
    <mergeCell ref="BJ47:BK48"/>
    <mergeCell ref="BR47:BS48"/>
    <mergeCell ref="BJ49:BK50"/>
    <mergeCell ref="BR49:BS50"/>
    <mergeCell ref="AE55:AF56"/>
    <mergeCell ref="AH55:AI56"/>
    <mergeCell ref="AK55:AL56"/>
    <mergeCell ref="AE57:AF58"/>
    <mergeCell ref="AH57:AI58"/>
    <mergeCell ref="AK57:AL58"/>
    <mergeCell ref="AE59:AF61"/>
    <mergeCell ref="BO164:BP165"/>
    <mergeCell ref="BR164:BS165"/>
    <mergeCell ref="BW164:BX165"/>
    <mergeCell ref="BH162:BK163"/>
    <mergeCell ref="BH164:BK165"/>
    <mergeCell ref="BO162:BP163"/>
    <mergeCell ref="BR162:BS163"/>
    <mergeCell ref="BW162:BX163"/>
    <mergeCell ref="AH59:AI61"/>
    <mergeCell ref="AK59:AL61"/>
    <mergeCell ref="AE62:AF63"/>
    <mergeCell ref="AH62:AI63"/>
    <mergeCell ref="AK62:AL63"/>
    <mergeCell ref="BX136:CA137"/>
    <mergeCell ref="BS123:BS128"/>
  </mergeCells>
  <conditionalFormatting sqref="BP129:BS133">
    <cfRule type="cellIs" dxfId="89" priority="23" stopIfTrue="1" operator="equal">
      <formula>"NÃO"</formula>
    </cfRule>
  </conditionalFormatting>
  <conditionalFormatting sqref="BH153:BK157">
    <cfRule type="cellIs" dxfId="88" priority="22" stopIfTrue="1" operator="equal">
      <formula>"NÃO"</formula>
    </cfRule>
  </conditionalFormatting>
  <conditionalFormatting sqref="BP153:BS157">
    <cfRule type="cellIs" dxfId="87" priority="15" stopIfTrue="1" operator="equal">
      <formula>"NÃO"</formula>
    </cfRule>
  </conditionalFormatting>
  <conditionalFormatting sqref="R62 R64 R66 R68">
    <cfRule type="cellIs" dxfId="86" priority="21" stopIfTrue="1" operator="equal">
      <formula>"NÃO"</formula>
    </cfRule>
  </conditionalFormatting>
  <conditionalFormatting sqref="BX153:CA157">
    <cfRule type="cellIs" dxfId="85" priority="13" stopIfTrue="1" operator="equal">
      <formula>"NÃO"</formula>
    </cfRule>
  </conditionalFormatting>
  <conditionalFormatting sqref="BP169:BS173">
    <cfRule type="cellIs" dxfId="84" priority="11" stopIfTrue="1" operator="equal">
      <formula>"NÃO"</formula>
    </cfRule>
  </conditionalFormatting>
  <conditionalFormatting sqref="U62 U64 U66 U68">
    <cfRule type="cellIs" dxfId="83" priority="10" stopIfTrue="1" operator="equal">
      <formula>"NÃO"</formula>
    </cfRule>
  </conditionalFormatting>
  <conditionalFormatting sqref="X62 X64 X66 X68">
    <cfRule type="cellIs" dxfId="82" priority="9" stopIfTrue="1" operator="equal">
      <formula>"NÃO"</formula>
    </cfRule>
  </conditionalFormatting>
  <conditionalFormatting sqref="O174:R178">
    <cfRule type="cellIs" dxfId="81" priority="8" stopIfTrue="1" operator="equal">
      <formula>"NÃO"</formula>
    </cfRule>
  </conditionalFormatting>
  <conditionalFormatting sqref="J181:M185">
    <cfRule type="cellIs" dxfId="80" priority="4" stopIfTrue="1" operator="equal">
      <formula>"NÃO"</formula>
    </cfRule>
  </conditionalFormatting>
  <conditionalFormatting sqref="J174:M178">
    <cfRule type="cellIs" dxfId="79" priority="6" stopIfTrue="1" operator="equal">
      <formula>"NÃO"</formula>
    </cfRule>
  </conditionalFormatting>
  <conditionalFormatting sqref="O181:R185">
    <cfRule type="cellIs" dxfId="78" priority="5" stopIfTrue="1" operator="equal">
      <formula>"NÃO"</formula>
    </cfRule>
  </conditionalFormatting>
  <conditionalFormatting sqref="AK62 AK64 AK66 AK68">
    <cfRule type="cellIs" dxfId="77" priority="1" stopIfTrue="1" operator="equal">
      <formula>"NÃO"</formula>
    </cfRule>
  </conditionalFormatting>
  <conditionalFormatting sqref="AE62 AE64 AE66 AE68">
    <cfRule type="cellIs" dxfId="76" priority="3" stopIfTrue="1" operator="equal">
      <formula>"NÃO"</formula>
    </cfRule>
  </conditionalFormatting>
  <conditionalFormatting sqref="AH62 AH64 AH66 AH68">
    <cfRule type="cellIs" dxfId="75" priority="2" stopIfTrue="1" operator="equal">
      <formula>"NÃO"</formula>
    </cfRule>
  </conditionalFormatting>
  <dataValidations count="2">
    <dataValidation type="list" allowBlank="1" showInputMessage="1" showErrorMessage="1" sqref="Q26">
      <formula1>$BA$4:$BA$6</formula1>
    </dataValidation>
    <dataValidation type="list" allowBlank="1" showInputMessage="1" showErrorMessage="1" sqref="W26:X27">
      <formula1>$BC$4:$BC$27</formula1>
    </dataValidation>
  </dataValidations>
  <printOptions horizontalCentered="1"/>
  <pageMargins left="0.31496062992125984" right="0.11811023622047245" top="0.19685039370078741" bottom="0.19685039370078741" header="0.31496062992125984" footer="0.31496062992125984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">
    <tabColor rgb="FFFFFF00"/>
  </sheetPr>
  <dimension ref="A1:CT339"/>
  <sheetViews>
    <sheetView showGridLines="0" topLeftCell="H1" zoomScaleNormal="100" workbookViewId="0">
      <selection activeCell="X42" sqref="X42"/>
    </sheetView>
  </sheetViews>
  <sheetFormatPr defaultRowHeight="15" x14ac:dyDescent="0.25"/>
  <cols>
    <col min="1" max="2" width="3.7109375" style="25" hidden="1" customWidth="1"/>
    <col min="3" max="4" width="20.7109375" style="25" hidden="1" customWidth="1"/>
    <col min="5" max="5" width="3.7109375" style="25" hidden="1" customWidth="1"/>
    <col min="6" max="6" width="32" style="25" hidden="1" customWidth="1"/>
    <col min="7" max="7" width="4.140625" style="25" hidden="1" customWidth="1"/>
    <col min="8" max="8" width="2.28515625" style="26" customWidth="1"/>
    <col min="9" max="9" width="3.85546875" style="25" customWidth="1"/>
    <col min="10" max="10" width="35.7109375" style="25" customWidth="1"/>
    <col min="11" max="11" width="3" style="25" customWidth="1"/>
    <col min="12" max="12" width="35.7109375" style="25" customWidth="1"/>
    <col min="13" max="13" width="3" style="25" customWidth="1"/>
    <col min="14" max="14" width="35.7109375" style="25" customWidth="1"/>
    <col min="15" max="15" width="3.28515625" style="25" customWidth="1"/>
    <col min="16" max="16" width="16.28515625" style="25" customWidth="1"/>
    <col min="17" max="17" width="16.5703125" style="25" customWidth="1"/>
    <col min="18" max="18" width="2.5703125" style="25" customWidth="1"/>
    <col min="19" max="19" width="2.85546875" style="25" customWidth="1"/>
    <col min="20" max="20" width="22" style="25" customWidth="1"/>
    <col min="21" max="21" width="13.140625" style="25" customWidth="1"/>
    <col min="22" max="22" width="3.140625" style="25" customWidth="1"/>
    <col min="23" max="23" width="19.85546875" style="25" customWidth="1"/>
    <col min="24" max="24" width="18.7109375" style="25" customWidth="1"/>
    <col min="25" max="25" width="4.5703125" style="25" customWidth="1"/>
    <col min="26" max="26" width="3.42578125" style="25" customWidth="1"/>
    <col min="27" max="27" width="2.140625" style="25" customWidth="1"/>
    <col min="28" max="29" width="14.7109375" style="25" customWidth="1"/>
    <col min="30" max="31" width="4.140625" style="25" customWidth="1"/>
    <col min="32" max="32" width="19.42578125" style="25" customWidth="1"/>
    <col min="33" max="33" width="14.28515625" style="25" customWidth="1"/>
    <col min="34" max="34" width="5.5703125" style="25" customWidth="1"/>
    <col min="35" max="35" width="18" style="25" customWidth="1"/>
    <col min="36" max="36" width="18.5703125" style="25" customWidth="1"/>
    <col min="37" max="41" width="4.140625" style="25" customWidth="1"/>
    <col min="42" max="42" width="4.5703125" style="25" customWidth="1"/>
    <col min="43" max="43" width="4.140625" style="25" customWidth="1"/>
    <col min="44" max="44" width="2.28515625" style="26" customWidth="1"/>
    <col min="45" max="45" width="3.85546875" style="25" hidden="1" customWidth="1"/>
    <col min="46" max="47" width="2.140625" style="25" hidden="1" customWidth="1"/>
    <col min="48" max="48" width="6.85546875" style="25" hidden="1" customWidth="1"/>
    <col min="49" max="49" width="28.42578125" style="25" hidden="1" customWidth="1"/>
    <col min="50" max="51" width="9.140625" style="25" hidden="1" customWidth="1"/>
    <col min="52" max="52" width="19.7109375" style="25" hidden="1" customWidth="1"/>
    <col min="53" max="56" width="9.140625" style="25" hidden="1" customWidth="1"/>
    <col min="57" max="57" width="10.28515625" style="25" hidden="1" customWidth="1"/>
    <col min="58" max="58" width="15.5703125" style="25" hidden="1" customWidth="1"/>
    <col min="59" max="59" width="26.5703125" style="25" hidden="1" customWidth="1"/>
    <col min="60" max="60" width="11.28515625" style="25" hidden="1" customWidth="1"/>
    <col min="61" max="61" width="14" style="25" hidden="1" customWidth="1"/>
    <col min="62" max="62" width="9.140625" style="25" hidden="1" customWidth="1"/>
    <col min="63" max="63" width="17.28515625" style="25" hidden="1" customWidth="1"/>
    <col min="64" max="64" width="16" style="25" hidden="1" customWidth="1"/>
    <col min="65" max="66" width="3.140625" style="25" hidden="1" customWidth="1"/>
    <col min="67" max="67" width="12.42578125" style="25" hidden="1" customWidth="1"/>
    <col min="68" max="68" width="23.140625" style="25" hidden="1" customWidth="1"/>
    <col min="69" max="69" width="11.42578125" style="25" hidden="1" customWidth="1"/>
    <col min="70" max="70" width="9.140625" style="25" hidden="1" customWidth="1"/>
    <col min="71" max="71" width="12.42578125" style="25" hidden="1" customWidth="1"/>
    <col min="72" max="72" width="23.7109375" style="25" hidden="1" customWidth="1"/>
    <col min="73" max="73" width="3.28515625" style="25" hidden="1" customWidth="1"/>
    <col min="74" max="74" width="1.85546875" style="25" hidden="1" customWidth="1"/>
    <col min="75" max="75" width="3.28515625" style="25" hidden="1" customWidth="1"/>
    <col min="76" max="82" width="9.140625" style="25" hidden="1" customWidth="1"/>
    <col min="83" max="83" width="3.28515625" style="25" hidden="1" customWidth="1"/>
    <col min="84" max="84" width="1.85546875" style="25" hidden="1" customWidth="1"/>
    <col min="85" max="85" width="3.28515625" style="25" hidden="1" customWidth="1"/>
    <col min="86" max="98" width="9.140625" style="25" hidden="1" customWidth="1"/>
    <col min="99" max="113" width="9.140625" style="25" customWidth="1"/>
    <col min="114" max="16384" width="9.140625" style="25"/>
  </cols>
  <sheetData>
    <row r="1" spans="10:84" x14ac:dyDescent="0.25">
      <c r="BV1" s="26"/>
      <c r="BX1" s="27" t="s">
        <v>91</v>
      </c>
      <c r="CF1" s="26"/>
    </row>
    <row r="2" spans="10:84" x14ac:dyDescent="0.25">
      <c r="BV2" s="26"/>
      <c r="CF2" s="26"/>
    </row>
    <row r="3" spans="10:84" x14ac:dyDescent="0.25">
      <c r="BV3" s="26"/>
      <c r="CF3" s="26"/>
    </row>
    <row r="4" spans="10:84" x14ac:dyDescent="0.25">
      <c r="BV4" s="26"/>
      <c r="CF4" s="26"/>
    </row>
    <row r="5" spans="10:84" x14ac:dyDescent="0.25">
      <c r="BV5" s="26"/>
      <c r="CF5" s="26"/>
    </row>
    <row r="6" spans="10:84" x14ac:dyDescent="0.25">
      <c r="BV6" s="26"/>
      <c r="CF6" s="26"/>
    </row>
    <row r="7" spans="10:84" x14ac:dyDescent="0.25">
      <c r="BV7" s="26"/>
      <c r="CF7" s="26"/>
    </row>
    <row r="8" spans="10:84" x14ac:dyDescent="0.25">
      <c r="BV8" s="26"/>
      <c r="CF8" s="26"/>
    </row>
    <row r="9" spans="10:84" s="28" customFormat="1" ht="8.25" customHeight="1" x14ac:dyDescent="0.25"/>
    <row r="10" spans="10:84" ht="15" customHeight="1" x14ac:dyDescent="0.25">
      <c r="J10" s="413" t="s">
        <v>346</v>
      </c>
      <c r="K10" s="413"/>
      <c r="L10" s="413"/>
      <c r="N10" s="414" t="s">
        <v>347</v>
      </c>
      <c r="O10" s="414"/>
      <c r="P10" s="414"/>
      <c r="Q10" s="418" t="str">
        <f>BX12</f>
        <v>SEM ESCOLHA</v>
      </c>
      <c r="R10" s="418"/>
      <c r="S10" s="418"/>
      <c r="T10" s="418"/>
      <c r="U10" s="418"/>
      <c r="AR10" s="28"/>
      <c r="BV10" s="28"/>
      <c r="CF10" s="26"/>
    </row>
    <row r="11" spans="10:84" ht="15" customHeight="1" x14ac:dyDescent="0.25">
      <c r="J11" s="413"/>
      <c r="K11" s="413"/>
      <c r="L11" s="413"/>
      <c r="N11" s="414"/>
      <c r="O11" s="414"/>
      <c r="P11" s="414"/>
      <c r="Q11" s="418" t="str">
        <f>BX14</f>
        <v>MODELO  SEM ESCOLHA</v>
      </c>
      <c r="R11" s="418"/>
      <c r="S11" s="418"/>
      <c r="T11" s="418"/>
      <c r="U11" s="418"/>
      <c r="AR11" s="28"/>
      <c r="BV11" s="28"/>
      <c r="CF11" s="26"/>
    </row>
    <row r="12" spans="10:84" x14ac:dyDescent="0.25">
      <c r="L12" s="415" t="s">
        <v>348</v>
      </c>
      <c r="M12" s="415"/>
      <c r="N12" s="415"/>
      <c r="O12" s="415"/>
      <c r="P12" s="415"/>
      <c r="AR12" s="28"/>
      <c r="AV12" s="24">
        <v>5</v>
      </c>
      <c r="AW12" s="31" t="str">
        <f>VLOOKUP(AV12,AV15:AW22,2,FALSE)</f>
        <v>SEM ESCOLHA</v>
      </c>
      <c r="AY12" s="24">
        <v>5</v>
      </c>
      <c r="AZ12" s="31" t="str">
        <f>VLOOKUP(AY12,AY15:AZ22,2,FALSE)</f>
        <v>SEM ESCOLHA</v>
      </c>
      <c r="BV12" s="28"/>
      <c r="BX12" s="51" t="str">
        <f>AZ27</f>
        <v>SEM ESCOLHA</v>
      </c>
      <c r="CF12" s="26"/>
    </row>
    <row r="13" spans="10:84" x14ac:dyDescent="0.25">
      <c r="AR13" s="28"/>
      <c r="BV13" s="28"/>
      <c r="CF13" s="26"/>
    </row>
    <row r="14" spans="10:84" x14ac:dyDescent="0.25">
      <c r="AR14" s="28"/>
      <c r="BV14" s="28"/>
      <c r="BX14" s="51" t="str">
        <f>CONCATENATE("MODELO  ",AW27)</f>
        <v>MODELO  SEM ESCOLHA</v>
      </c>
      <c r="CF14" s="26"/>
    </row>
    <row r="15" spans="10:84" x14ac:dyDescent="0.25">
      <c r="AR15" s="28"/>
      <c r="AV15" s="48">
        <v>0</v>
      </c>
      <c r="AW15" s="49" t="s">
        <v>8</v>
      </c>
      <c r="AY15" s="48">
        <v>0</v>
      </c>
      <c r="AZ15" s="49" t="s">
        <v>8</v>
      </c>
      <c r="BV15" s="28"/>
      <c r="CF15" s="26"/>
    </row>
    <row r="16" spans="10:84" x14ac:dyDescent="0.25">
      <c r="AR16" s="28"/>
      <c r="AV16" s="34">
        <v>1</v>
      </c>
      <c r="AW16" s="35" t="s">
        <v>356</v>
      </c>
      <c r="AY16" s="34">
        <v>1</v>
      </c>
      <c r="AZ16" s="35" t="s">
        <v>351</v>
      </c>
      <c r="BV16" s="28"/>
      <c r="CF16" s="26"/>
    </row>
    <row r="17" spans="18:84" x14ac:dyDescent="0.25">
      <c r="AR17" s="28"/>
      <c r="AV17" s="34">
        <v>2</v>
      </c>
      <c r="AW17" s="35" t="s">
        <v>357</v>
      </c>
      <c r="AY17" s="34">
        <v>2</v>
      </c>
      <c r="AZ17" s="35" t="s">
        <v>352</v>
      </c>
      <c r="BV17" s="28"/>
      <c r="CF17" s="26"/>
    </row>
    <row r="18" spans="18:84" x14ac:dyDescent="0.25">
      <c r="AR18" s="28"/>
      <c r="AV18" s="34">
        <v>3</v>
      </c>
      <c r="AW18" s="35" t="s">
        <v>14</v>
      </c>
      <c r="AY18" s="34">
        <v>3</v>
      </c>
      <c r="AZ18" s="35" t="s">
        <v>353</v>
      </c>
      <c r="BV18" s="28"/>
      <c r="CF18" s="26"/>
    </row>
    <row r="19" spans="18:84" x14ac:dyDescent="0.25">
      <c r="AR19" s="28"/>
      <c r="AV19" s="34">
        <v>4</v>
      </c>
      <c r="AW19" s="35" t="s">
        <v>358</v>
      </c>
      <c r="AY19" s="34">
        <v>4</v>
      </c>
      <c r="AZ19" s="35" t="s">
        <v>373</v>
      </c>
      <c r="BV19" s="28"/>
      <c r="CF19" s="26"/>
    </row>
    <row r="20" spans="18:84" x14ac:dyDescent="0.25">
      <c r="AR20" s="28"/>
      <c r="AV20" s="289">
        <v>5</v>
      </c>
      <c r="AW20" s="40" t="s">
        <v>25</v>
      </c>
      <c r="AY20" s="289">
        <v>5</v>
      </c>
      <c r="AZ20" s="40" t="s">
        <v>25</v>
      </c>
      <c r="BV20" s="28"/>
      <c r="CF20" s="26"/>
    </row>
    <row r="21" spans="18:84" x14ac:dyDescent="0.25">
      <c r="AR21" s="28"/>
      <c r="AV21" s="41"/>
      <c r="AW21" s="35"/>
      <c r="AY21" s="41"/>
      <c r="AZ21" s="35"/>
      <c r="BV21" s="28"/>
      <c r="CF21" s="26"/>
    </row>
    <row r="22" spans="18:84" x14ac:dyDescent="0.25">
      <c r="AR22" s="28"/>
      <c r="AV22" s="41"/>
      <c r="AW22" s="35"/>
      <c r="AY22" s="41"/>
      <c r="AZ22" s="35"/>
      <c r="BV22" s="28"/>
      <c r="CF22" s="26"/>
    </row>
    <row r="23" spans="18:84" x14ac:dyDescent="0.25">
      <c r="AR23" s="28"/>
      <c r="BV23" s="28"/>
      <c r="CF23" s="26"/>
    </row>
    <row r="24" spans="18:84" x14ac:dyDescent="0.25">
      <c r="R24" s="242" t="s">
        <v>278</v>
      </c>
      <c r="S24" s="243"/>
      <c r="T24" s="243"/>
      <c r="U24" s="243"/>
      <c r="V24" s="243"/>
      <c r="W24" s="243"/>
      <c r="X24" s="243"/>
      <c r="Y24" s="243"/>
      <c r="AR24" s="28"/>
      <c r="BV24" s="28"/>
      <c r="CF24" s="26"/>
    </row>
    <row r="25" spans="18:84" x14ac:dyDescent="0.25">
      <c r="R25" s="242" t="s">
        <v>349</v>
      </c>
      <c r="S25" s="243"/>
      <c r="T25" s="243"/>
      <c r="U25" s="243"/>
      <c r="V25" s="243"/>
      <c r="W25" s="243"/>
      <c r="X25" s="243"/>
      <c r="Y25" s="243"/>
      <c r="AR25" s="28"/>
      <c r="BV25" s="28"/>
      <c r="CF25" s="26"/>
    </row>
    <row r="26" spans="18:84" ht="6" customHeight="1" x14ac:dyDescent="0.25">
      <c r="R26" s="243"/>
      <c r="S26" s="243"/>
      <c r="T26" s="243"/>
      <c r="U26" s="243"/>
      <c r="V26" s="243"/>
      <c r="W26" s="243"/>
      <c r="X26" s="243"/>
      <c r="Y26" s="243"/>
      <c r="AR26" s="28"/>
      <c r="BV26" s="28"/>
      <c r="CF26" s="26"/>
    </row>
    <row r="27" spans="18:84" ht="23.25" customHeight="1" x14ac:dyDescent="0.25">
      <c r="R27" s="416" t="s">
        <v>350</v>
      </c>
      <c r="S27" s="417"/>
      <c r="T27" s="417"/>
      <c r="U27" s="417"/>
      <c r="V27" s="417"/>
      <c r="W27" s="417"/>
      <c r="X27" s="417"/>
      <c r="Y27" s="417"/>
      <c r="AR27" s="28"/>
      <c r="AV27" s="24">
        <f>AY27</f>
        <v>3</v>
      </c>
      <c r="AW27" s="31" t="str">
        <f>VLOOKUP(AV27,AV30:AW33,2,FALSE)</f>
        <v>SEM ESCOLHA</v>
      </c>
      <c r="AY27" s="24">
        <v>3</v>
      </c>
      <c r="AZ27" s="31" t="str">
        <f>VLOOKUP(AY27,AY30:AZ33,2,FALSE)</f>
        <v>SEM ESCOLHA</v>
      </c>
      <c r="BV27" s="28"/>
      <c r="CF27" s="26"/>
    </row>
    <row r="28" spans="18:84" x14ac:dyDescent="0.25">
      <c r="R28" s="417"/>
      <c r="S28" s="417"/>
      <c r="T28" s="417"/>
      <c r="U28" s="417"/>
      <c r="V28" s="417"/>
      <c r="W28" s="417"/>
      <c r="X28" s="417"/>
      <c r="Y28" s="417"/>
      <c r="AR28" s="28"/>
      <c r="BV28" s="28"/>
      <c r="CF28" s="26"/>
    </row>
    <row r="29" spans="18:84" x14ac:dyDescent="0.25">
      <c r="AR29" s="28"/>
      <c r="BV29" s="28"/>
      <c r="CF29" s="26"/>
    </row>
    <row r="30" spans="18:84" x14ac:dyDescent="0.25">
      <c r="AR30" s="28"/>
      <c r="AV30" s="48">
        <v>0</v>
      </c>
      <c r="AW30" s="49" t="s">
        <v>8</v>
      </c>
      <c r="AY30" s="48">
        <v>0</v>
      </c>
      <c r="AZ30" s="49" t="s">
        <v>8</v>
      </c>
      <c r="BV30" s="28"/>
      <c r="CF30" s="26"/>
    </row>
    <row r="31" spans="18:84" x14ac:dyDescent="0.25">
      <c r="AR31" s="28"/>
      <c r="AV31" s="34">
        <v>1</v>
      </c>
      <c r="AW31" s="35" t="str">
        <f>AW12</f>
        <v>SEM ESCOLHA</v>
      </c>
      <c r="AY31" s="34">
        <v>1</v>
      </c>
      <c r="AZ31" s="35" t="s">
        <v>354</v>
      </c>
      <c r="BV31" s="28"/>
      <c r="CF31" s="26"/>
    </row>
    <row r="32" spans="18:84" x14ac:dyDescent="0.25">
      <c r="AR32" s="28"/>
      <c r="AV32" s="34">
        <v>2</v>
      </c>
      <c r="AW32" s="35" t="str">
        <f>AZ12</f>
        <v>SEM ESCOLHA</v>
      </c>
      <c r="AY32" s="34">
        <v>2</v>
      </c>
      <c r="AZ32" s="35" t="s">
        <v>355</v>
      </c>
      <c r="BV32" s="28"/>
      <c r="CF32" s="26"/>
    </row>
    <row r="33" spans="3:89" x14ac:dyDescent="0.25">
      <c r="AR33" s="28"/>
      <c r="AV33" s="289">
        <v>3</v>
      </c>
      <c r="AW33" s="40" t="s">
        <v>25</v>
      </c>
      <c r="AY33" s="289">
        <v>3</v>
      </c>
      <c r="AZ33" s="40" t="s">
        <v>25</v>
      </c>
      <c r="BV33" s="28"/>
      <c r="CF33" s="26"/>
    </row>
    <row r="34" spans="3:89" x14ac:dyDescent="0.25">
      <c r="AR34" s="28"/>
      <c r="BV34" s="28"/>
      <c r="CF34" s="26"/>
    </row>
    <row r="35" spans="3:89" x14ac:dyDescent="0.25">
      <c r="AR35" s="28"/>
      <c r="BV35" s="28"/>
      <c r="CF35" s="26"/>
    </row>
    <row r="36" spans="3:89" x14ac:dyDescent="0.25">
      <c r="AR36" s="28"/>
      <c r="BV36" s="28"/>
      <c r="CF36" s="26"/>
    </row>
    <row r="37" spans="3:89" x14ac:dyDescent="0.25">
      <c r="AR37" s="28"/>
      <c r="BV37" s="28"/>
      <c r="CF37" s="26"/>
    </row>
    <row r="38" spans="3:89" s="28" customFormat="1" ht="8.25" customHeight="1" x14ac:dyDescent="0.25"/>
    <row r="39" spans="3:89" ht="15" customHeight="1" thickBot="1" x14ac:dyDescent="0.3">
      <c r="H39" s="28"/>
      <c r="J39" s="413" t="s">
        <v>7</v>
      </c>
      <c r="K39" s="413"/>
      <c r="L39" s="413"/>
      <c r="N39" s="414" t="s">
        <v>310</v>
      </c>
      <c r="O39" s="414"/>
      <c r="P39" s="414"/>
      <c r="Q39" s="418" t="str">
        <f>CJ48</f>
        <v xml:space="preserve"> SEM ESCOLHA     -     TAMANHO - 0</v>
      </c>
      <c r="R39" s="418"/>
      <c r="S39" s="418"/>
      <c r="T39" s="418"/>
      <c r="U39" s="418"/>
      <c r="V39" s="261"/>
      <c r="AR39" s="28"/>
      <c r="AZ39" s="25">
        <v>2</v>
      </c>
      <c r="BA39" s="25">
        <v>3</v>
      </c>
      <c r="BB39" s="25">
        <v>4</v>
      </c>
      <c r="BC39" s="25">
        <v>5</v>
      </c>
      <c r="BD39" s="25">
        <v>6</v>
      </c>
      <c r="BG39" s="25">
        <v>2</v>
      </c>
      <c r="BH39" s="25">
        <v>3</v>
      </c>
      <c r="BI39" s="25">
        <v>4</v>
      </c>
      <c r="BJ39" s="25">
        <v>5</v>
      </c>
      <c r="BV39" s="28"/>
      <c r="BX39" s="29" t="s">
        <v>97</v>
      </c>
      <c r="CF39" s="28"/>
      <c r="CK39" s="25" t="s">
        <v>185</v>
      </c>
    </row>
    <row r="40" spans="3:89" ht="24.75" customHeight="1" thickBot="1" x14ac:dyDescent="0.3">
      <c r="C40" s="455" t="s">
        <v>39</v>
      </c>
      <c r="D40" s="455"/>
      <c r="H40" s="28"/>
      <c r="J40" s="413"/>
      <c r="K40" s="413"/>
      <c r="L40" s="413"/>
      <c r="N40" s="414"/>
      <c r="O40" s="414"/>
      <c r="P40" s="414"/>
      <c r="Q40" s="418"/>
      <c r="R40" s="418"/>
      <c r="S40" s="418"/>
      <c r="T40" s="418"/>
      <c r="U40" s="418"/>
      <c r="V40" s="261"/>
      <c r="W40" s="441" t="s">
        <v>100</v>
      </c>
      <c r="X40" s="441"/>
      <c r="AR40" s="28"/>
      <c r="AZ40" s="25" t="s">
        <v>9</v>
      </c>
      <c r="BG40" s="25" t="s">
        <v>10</v>
      </c>
      <c r="BO40" s="23">
        <v>6</v>
      </c>
      <c r="BP40" s="31" t="str">
        <f>VLOOKUP(BO40,BO43:BQ50,2,FALSE)</f>
        <v>OUTROS MODELOS</v>
      </c>
      <c r="BS40" s="506" t="s">
        <v>135</v>
      </c>
      <c r="BT40" s="506"/>
      <c r="BV40" s="28"/>
      <c r="BX40" s="33" t="str">
        <f>IF(BO40=6,BX51,"")</f>
        <v/>
      </c>
      <c r="CF40" s="28"/>
      <c r="CH40" s="25" t="str">
        <f>IF(BT41=TRUE,BP40,BT45)</f>
        <v>SEM ESCOLHA</v>
      </c>
    </row>
    <row r="41" spans="3:89" ht="15.75" thickBot="1" x14ac:dyDescent="0.3">
      <c r="C41" s="455"/>
      <c r="D41" s="455"/>
      <c r="H41" s="28"/>
      <c r="AR41" s="28"/>
      <c r="AY41" s="23">
        <v>5</v>
      </c>
      <c r="AZ41" s="31" t="str">
        <f>VLOOKUP($AY$41,$AY$43:$BC$48,AZ39,FALSE)</f>
        <v>SEM ESCOLHA</v>
      </c>
      <c r="BA41" s="32">
        <f t="shared" ref="BA41:BC41" si="0">VLOOKUP($AY$41,$AY$43:$BC$48,BA39,FALSE)</f>
        <v>0</v>
      </c>
      <c r="BB41" s="32">
        <f t="shared" si="0"/>
        <v>0</v>
      </c>
      <c r="BC41" s="82">
        <f t="shared" si="0"/>
        <v>0</v>
      </c>
      <c r="BD41" s="113" t="str">
        <f>VLOOKUP($AY$41,$AY$43:$BD$48,BD39,FALSE)</f>
        <v>SEM ESCOLHA</v>
      </c>
      <c r="BF41" s="23">
        <v>6</v>
      </c>
      <c r="BG41" s="31" t="str">
        <f>VLOOKUP($BF$41,$BF$43:$BJ$49,BG39,FALSE)</f>
        <v>SEM ESCOLHA</v>
      </c>
      <c r="BH41" s="32">
        <f>VLOOKUP($BF$41,$BF$43:$BJ$49,BH39,FALSE)</f>
        <v>0</v>
      </c>
      <c r="BI41" s="32">
        <f>VLOOKUP($BF$41,$BF$43:$BJ$49,BI39,FALSE)</f>
        <v>0</v>
      </c>
      <c r="BJ41" s="82">
        <f>VLOOKUP($BF$41,$BF$43:$BJ$49,BJ39,FALSE)</f>
        <v>0</v>
      </c>
      <c r="BT41" s="61" t="b">
        <v>0</v>
      </c>
      <c r="BV41" s="28"/>
      <c r="CF41" s="28"/>
    </row>
    <row r="42" spans="3:89" ht="23.25" customHeight="1" thickBot="1" x14ac:dyDescent="0.3">
      <c r="H42" s="28"/>
      <c r="W42" s="66" t="s">
        <v>164</v>
      </c>
      <c r="X42" s="262"/>
      <c r="AR42" s="28"/>
      <c r="AW42" s="34"/>
      <c r="BA42" s="81" t="s">
        <v>161</v>
      </c>
      <c r="BB42" s="81" t="s">
        <v>162</v>
      </c>
      <c r="BC42" s="81" t="s">
        <v>163</v>
      </c>
      <c r="BD42" s="114" t="s">
        <v>219</v>
      </c>
      <c r="BH42" s="25" t="s">
        <v>161</v>
      </c>
      <c r="BI42" s="25" t="s">
        <v>162</v>
      </c>
      <c r="BJ42" s="25" t="s">
        <v>163</v>
      </c>
      <c r="BV42" s="28"/>
      <c r="BX42" s="29" t="s">
        <v>164</v>
      </c>
      <c r="BY42" s="25" t="s">
        <v>161</v>
      </c>
      <c r="BZ42" s="25" t="s">
        <v>162</v>
      </c>
      <c r="CA42" s="25" t="s">
        <v>163</v>
      </c>
      <c r="CB42" s="25" t="s">
        <v>220</v>
      </c>
      <c r="CF42" s="28"/>
      <c r="CH42" s="36" t="str">
        <f>IF(AND(BT41=TRUE,BO40=6),BX40,CJ46)</f>
        <v>SEM ESCOLHA</v>
      </c>
    </row>
    <row r="43" spans="3:89" ht="35.25" customHeight="1" thickBot="1" x14ac:dyDescent="0.3">
      <c r="H43" s="28"/>
      <c r="P43"/>
      <c r="R43"/>
      <c r="S43"/>
      <c r="AR43" s="28"/>
      <c r="AW43" s="34">
        <v>34</v>
      </c>
      <c r="AY43" s="34">
        <v>0</v>
      </c>
      <c r="AZ43" s="35" t="s">
        <v>8</v>
      </c>
      <c r="BA43" s="35"/>
      <c r="BB43" s="35"/>
      <c r="BC43" s="35"/>
      <c r="BD43" s="112" t="s">
        <v>8</v>
      </c>
      <c r="BF43" s="34">
        <v>0</v>
      </c>
      <c r="BG43" s="35" t="s">
        <v>8</v>
      </c>
      <c r="BH43" s="35"/>
      <c r="BI43" s="35"/>
      <c r="BJ43" s="35"/>
      <c r="BO43" s="34">
        <v>0</v>
      </c>
      <c r="BP43" s="35" t="s">
        <v>8</v>
      </c>
      <c r="BV43" s="28"/>
      <c r="BX43" s="83">
        <f>VLOOKUP($BT$45,$BF$51:$BJ$55,2,FALSE)</f>
        <v>0</v>
      </c>
      <c r="BY43" s="83">
        <f>VLOOKUP($BT$45,$BF$51:$BJ$55,3,FALSE)</f>
        <v>0</v>
      </c>
      <c r="BZ43" s="83">
        <f>VLOOKUP($BT$45,$BF$51:$BJ$55,4,FALSE)</f>
        <v>0</v>
      </c>
      <c r="CA43" s="83">
        <f>VLOOKUP($BT$45,$BF$51:$BJ$55,5,FALSE)</f>
        <v>0</v>
      </c>
      <c r="CB43" s="83" t="str">
        <f>VLOOKUP($BT$45,$BF$51:$BK$55,6,FALSE)</f>
        <v>SEM ESCOLHA</v>
      </c>
      <c r="CF43" s="28"/>
      <c r="CJ43" s="115" t="s">
        <v>220</v>
      </c>
    </row>
    <row r="44" spans="3:89" ht="23.25" customHeight="1" x14ac:dyDescent="0.25">
      <c r="H44" s="28"/>
      <c r="J44" s="37"/>
      <c r="N44" s="38"/>
      <c r="O44" s="26"/>
      <c r="P44"/>
      <c r="R44"/>
      <c r="T44" s="80" t="s">
        <v>389</v>
      </c>
      <c r="AR44" s="28"/>
      <c r="AW44" s="34">
        <v>36</v>
      </c>
      <c r="AY44" s="34">
        <v>1</v>
      </c>
      <c r="AZ44" s="35">
        <v>34</v>
      </c>
      <c r="BA44" s="32">
        <v>50</v>
      </c>
      <c r="BB44" s="32">
        <v>56</v>
      </c>
      <c r="BC44" s="82">
        <v>8</v>
      </c>
      <c r="BD44" s="112">
        <v>34</v>
      </c>
      <c r="BF44" s="34">
        <v>1</v>
      </c>
      <c r="BG44" s="35">
        <v>34</v>
      </c>
      <c r="BH44" s="32">
        <v>50</v>
      </c>
      <c r="BI44" s="32">
        <v>56</v>
      </c>
      <c r="BJ44" s="82">
        <v>8</v>
      </c>
      <c r="BO44" s="34">
        <v>1</v>
      </c>
      <c r="BP44" s="35" t="s">
        <v>92</v>
      </c>
      <c r="BV44" s="28"/>
      <c r="CF44" s="28"/>
      <c r="CH44" s="118" t="str">
        <f>IF(CC46=0,"FALTA TAMANHO",CC46)</f>
        <v>FALTA TAMANHO</v>
      </c>
      <c r="CJ44" s="116" t="str">
        <f>IF(BZ47="",CB43,BZ47)</f>
        <v>SEM ESCOLHA</v>
      </c>
    </row>
    <row r="45" spans="3:89" ht="23.25" customHeight="1" thickBot="1" x14ac:dyDescent="0.3">
      <c r="H45" s="28"/>
      <c r="J45" s="37"/>
      <c r="N45" s="38"/>
      <c r="O45" s="26"/>
      <c r="P45"/>
      <c r="R45"/>
      <c r="T45" s="76">
        <f>IF(BT41=FALSE,BY43,"")</f>
        <v>0</v>
      </c>
      <c r="AR45" s="28"/>
      <c r="AW45" s="34">
        <v>40</v>
      </c>
      <c r="AY45" s="34">
        <v>2</v>
      </c>
      <c r="AZ45" s="35">
        <v>38</v>
      </c>
      <c r="BA45" s="32">
        <v>52</v>
      </c>
      <c r="BB45" s="32">
        <v>56</v>
      </c>
      <c r="BC45" s="82">
        <v>8</v>
      </c>
      <c r="BD45" s="112">
        <v>36</v>
      </c>
      <c r="BF45" s="34">
        <v>2</v>
      </c>
      <c r="BG45" s="35">
        <v>36</v>
      </c>
      <c r="BH45" s="32">
        <v>52</v>
      </c>
      <c r="BI45" s="32">
        <v>56</v>
      </c>
      <c r="BJ45" s="82">
        <v>8</v>
      </c>
      <c r="BO45" s="34">
        <v>2</v>
      </c>
      <c r="BP45" s="35" t="s">
        <v>336</v>
      </c>
      <c r="BS45" s="24">
        <v>5</v>
      </c>
      <c r="BT45" s="31" t="str">
        <f>VLOOKUP(BS45,$BS$47:$BT$52,2,FALSE)</f>
        <v>SEM ESCOLHA</v>
      </c>
      <c r="BV45" s="28"/>
      <c r="CF45" s="28"/>
    </row>
    <row r="46" spans="3:89" ht="23.25" customHeight="1" thickBot="1" x14ac:dyDescent="0.3">
      <c r="H46" s="28"/>
      <c r="J46" s="37"/>
      <c r="N46" s="38"/>
      <c r="O46" s="26"/>
      <c r="P46"/>
      <c r="R46"/>
      <c r="T46"/>
      <c r="AR46" s="28"/>
      <c r="AW46" s="34">
        <v>42</v>
      </c>
      <c r="AY46" s="34">
        <v>3</v>
      </c>
      <c r="AZ46" s="35">
        <v>42</v>
      </c>
      <c r="BA46" s="32">
        <v>56</v>
      </c>
      <c r="BB46" s="32">
        <v>56</v>
      </c>
      <c r="BC46" s="82">
        <v>8</v>
      </c>
      <c r="BD46" s="112">
        <v>40</v>
      </c>
      <c r="BF46" s="34">
        <v>3</v>
      </c>
      <c r="BG46" s="35">
        <v>40</v>
      </c>
      <c r="BH46" s="32">
        <v>56</v>
      </c>
      <c r="BI46" s="32">
        <v>56</v>
      </c>
      <c r="BJ46" s="82">
        <v>8</v>
      </c>
      <c r="BO46" s="34">
        <v>6</v>
      </c>
      <c r="BP46" s="35" t="s">
        <v>89</v>
      </c>
      <c r="BV46" s="28"/>
      <c r="CC46" s="36">
        <f>IF(BT41=FALSE,BX43,BZ47)</f>
        <v>0</v>
      </c>
      <c r="CF46" s="28"/>
      <c r="CJ46" s="111" t="str">
        <f>IF(CH40="",CH42,CH40)</f>
        <v>SEM ESCOLHA</v>
      </c>
    </row>
    <row r="47" spans="3:89" ht="23.25" customHeight="1" x14ac:dyDescent="0.25">
      <c r="H47" s="28"/>
      <c r="J47" s="37"/>
      <c r="N47" s="38"/>
      <c r="O47" s="26"/>
      <c r="P47"/>
      <c r="R47"/>
      <c r="T47" s="80" t="s">
        <v>390</v>
      </c>
      <c r="AR47" s="28"/>
      <c r="AW47" s="34">
        <v>44</v>
      </c>
      <c r="AY47" s="34">
        <v>4</v>
      </c>
      <c r="AZ47" s="35">
        <v>46</v>
      </c>
      <c r="BA47" s="32">
        <v>60</v>
      </c>
      <c r="BB47" s="32">
        <v>56</v>
      </c>
      <c r="BC47" s="82">
        <v>8</v>
      </c>
      <c r="BD47" s="112">
        <v>44</v>
      </c>
      <c r="BF47" s="34">
        <v>4</v>
      </c>
      <c r="BG47" s="35">
        <v>44</v>
      </c>
      <c r="BH47" s="32">
        <v>60</v>
      </c>
      <c r="BI47" s="32">
        <v>56</v>
      </c>
      <c r="BJ47" s="82">
        <v>8</v>
      </c>
      <c r="BO47" s="34">
        <v>3</v>
      </c>
      <c r="BP47" s="35" t="s">
        <v>94</v>
      </c>
      <c r="BS47" s="34">
        <v>0</v>
      </c>
      <c r="BT47" s="35" t="s">
        <v>8</v>
      </c>
      <c r="BV47" s="28"/>
      <c r="BX47" s="51" t="str">
        <f>W53</f>
        <v>ESCREVA AQUI SEU O NOME DO CHASSIS</v>
      </c>
      <c r="BZ47" s="51" t="str">
        <f>IF(BT41=FALSE,"",X42)</f>
        <v/>
      </c>
      <c r="CF47" s="28"/>
    </row>
    <row r="48" spans="3:89" ht="23.25" customHeight="1" x14ac:dyDescent="0.25">
      <c r="H48" s="28"/>
      <c r="J48" s="37"/>
      <c r="N48" s="38"/>
      <c r="O48" s="26"/>
      <c r="T48" s="76">
        <f>IF(BT41=FALSE,BZ43,"")</f>
        <v>0</v>
      </c>
      <c r="AR48" s="28"/>
      <c r="AW48" s="34">
        <v>46</v>
      </c>
      <c r="AY48" s="39">
        <v>5</v>
      </c>
      <c r="AZ48" s="40" t="s">
        <v>25</v>
      </c>
      <c r="BA48" s="40">
        <v>0</v>
      </c>
      <c r="BB48" s="40">
        <v>0</v>
      </c>
      <c r="BC48" s="40">
        <v>0</v>
      </c>
      <c r="BD48" s="112" t="s">
        <v>25</v>
      </c>
      <c r="BF48" s="34">
        <v>5</v>
      </c>
      <c r="BG48" s="35">
        <v>46</v>
      </c>
      <c r="BH48" s="32">
        <v>64</v>
      </c>
      <c r="BI48" s="32">
        <v>56</v>
      </c>
      <c r="BJ48" s="82">
        <v>8</v>
      </c>
      <c r="BO48" s="34">
        <v>4</v>
      </c>
      <c r="BP48" s="35" t="s">
        <v>95</v>
      </c>
      <c r="BS48" s="34">
        <v>1</v>
      </c>
      <c r="BT48" s="35" t="s">
        <v>216</v>
      </c>
      <c r="BV48" s="28"/>
      <c r="CF48" s="28"/>
      <c r="CJ48" s="94" t="str">
        <f>IF(CH50="",CONCATENATE(" ",CH42,"     -     TAMANHO - ",CC46,),CH50)</f>
        <v xml:space="preserve"> SEM ESCOLHA     -     TAMANHO - 0</v>
      </c>
    </row>
    <row r="49" spans="3:88" ht="23.25" customHeight="1" thickBot="1" x14ac:dyDescent="0.3">
      <c r="H49" s="28"/>
      <c r="J49" s="37"/>
      <c r="N49" s="38"/>
      <c r="O49" s="26"/>
      <c r="AR49" s="28"/>
      <c r="AW49" s="34">
        <v>48</v>
      </c>
      <c r="BF49" s="245">
        <v>6</v>
      </c>
      <c r="BG49" s="40" t="s">
        <v>25</v>
      </c>
      <c r="BH49" s="40">
        <v>0</v>
      </c>
      <c r="BI49" s="40">
        <v>0</v>
      </c>
      <c r="BJ49" s="40">
        <v>0</v>
      </c>
      <c r="BO49" s="34">
        <v>5</v>
      </c>
      <c r="BP49" s="35" t="s">
        <v>96</v>
      </c>
      <c r="BS49" s="34">
        <v>2</v>
      </c>
      <c r="BT49" s="35" t="s">
        <v>217</v>
      </c>
      <c r="BV49" s="28"/>
      <c r="CF49" s="28"/>
    </row>
    <row r="50" spans="3:88" ht="23.25" customHeight="1" thickBot="1" x14ac:dyDescent="0.3">
      <c r="H50" s="28"/>
      <c r="J50" s="37"/>
      <c r="N50" s="38"/>
      <c r="O50" s="26"/>
      <c r="T50" s="80" t="s">
        <v>391</v>
      </c>
      <c r="AR50" s="28"/>
      <c r="BJ50"/>
      <c r="BK50" s="112" t="s">
        <v>220</v>
      </c>
      <c r="BL50"/>
      <c r="BO50" s="34">
        <v>7</v>
      </c>
      <c r="BP50" s="35" t="s">
        <v>93</v>
      </c>
      <c r="BS50" s="34">
        <v>3</v>
      </c>
      <c r="BT50" s="35" t="s">
        <v>305</v>
      </c>
      <c r="BV50" s="28"/>
      <c r="CF50" s="28"/>
      <c r="CH50" s="36" t="str">
        <f>IF(BT41=FALSE,"",IF(BX51&lt;&gt;"","",IF(AND(BT41=TRUE,BO40=6),CONCATENATE(BX51," - TAMANHO - ",BZ47),CONCATENATE(BP40," - TAMANHO ",BZ47))))</f>
        <v/>
      </c>
    </row>
    <row r="51" spans="3:88" ht="23.25" customHeight="1" thickBot="1" x14ac:dyDescent="0.3">
      <c r="H51" s="28"/>
      <c r="J51" s="37"/>
      <c r="N51" s="38"/>
      <c r="O51" s="26"/>
      <c r="T51" s="87">
        <f>IF(BT41=FALSE,CA43,"")</f>
        <v>0</v>
      </c>
      <c r="AR51" s="28"/>
      <c r="BF51" s="35" t="s">
        <v>25</v>
      </c>
      <c r="BG51" s="84">
        <v>0</v>
      </c>
      <c r="BH51" s="32">
        <v>0</v>
      </c>
      <c r="BI51" s="32">
        <v>0</v>
      </c>
      <c r="BJ51" s="82">
        <v>0</v>
      </c>
      <c r="BK51" s="112" t="s">
        <v>25</v>
      </c>
      <c r="BS51" s="34">
        <v>4</v>
      </c>
      <c r="BT51" s="35" t="s">
        <v>306</v>
      </c>
      <c r="BV51" s="28"/>
      <c r="BX51" s="86" t="str">
        <f>IF(AND(BO53=1,BX47=BN54),"FALTA NOME",IF(BX47=BN54,"",BX47))</f>
        <v/>
      </c>
      <c r="BY51" s="42"/>
      <c r="BZ51" s="42"/>
      <c r="CA51" s="42"/>
      <c r="CF51" s="28"/>
    </row>
    <row r="52" spans="3:88" ht="25.5" customHeight="1" x14ac:dyDescent="0.25">
      <c r="H52" s="28"/>
      <c r="V52" s="421" t="s">
        <v>327</v>
      </c>
      <c r="W52" s="421"/>
      <c r="X52" s="421"/>
      <c r="Y52" s="421"/>
      <c r="Z52" s="421"/>
      <c r="AA52" s="421"/>
      <c r="AR52" s="28"/>
      <c r="BF52" s="35" t="s">
        <v>216</v>
      </c>
      <c r="BG52" s="84" t="str">
        <f>AZ41</f>
        <v>SEM ESCOLHA</v>
      </c>
      <c r="BH52" s="32">
        <f>BA41</f>
        <v>0</v>
      </c>
      <c r="BI52" s="32">
        <f>BB41</f>
        <v>0</v>
      </c>
      <c r="BJ52" s="82">
        <f>BC41</f>
        <v>0</v>
      </c>
      <c r="BK52" s="112" t="str">
        <f>BD41</f>
        <v>SEM ESCOLHA</v>
      </c>
      <c r="BS52" s="39">
        <v>5</v>
      </c>
      <c r="BT52" s="40" t="s">
        <v>25</v>
      </c>
      <c r="BV52" s="28"/>
      <c r="CF52" s="28"/>
    </row>
    <row r="53" spans="3:88" ht="25.5" customHeight="1" thickBot="1" x14ac:dyDescent="0.3">
      <c r="H53" s="28"/>
      <c r="J53" s="43" t="s">
        <v>90</v>
      </c>
      <c r="P53"/>
      <c r="Q53"/>
      <c r="R53"/>
      <c r="S53"/>
      <c r="W53" s="522" t="s">
        <v>185</v>
      </c>
      <c r="X53" s="522"/>
      <c r="Y53" s="522"/>
      <c r="Z53" s="522"/>
      <c r="AR53" s="28"/>
      <c r="BF53" s="35" t="s">
        <v>217</v>
      </c>
      <c r="BG53" s="84" t="str">
        <f t="shared" ref="BG53" si="1">BG41</f>
        <v>SEM ESCOLHA</v>
      </c>
      <c r="BH53" s="32">
        <f t="shared" ref="BH53:BJ53" si="2">BH41</f>
        <v>0</v>
      </c>
      <c r="BI53" s="32">
        <f t="shared" si="2"/>
        <v>0</v>
      </c>
      <c r="BJ53" s="82">
        <f t="shared" si="2"/>
        <v>0</v>
      </c>
      <c r="BK53" s="112" t="str">
        <f>BG41</f>
        <v>SEM ESCOLHA</v>
      </c>
      <c r="BO53" s="93">
        <f>IF(AND(BT41=TRUE,BO40=6),1,0)</f>
        <v>0</v>
      </c>
      <c r="BV53" s="28"/>
      <c r="BX53" s="29" t="s">
        <v>56</v>
      </c>
      <c r="CF53" s="28"/>
      <c r="CH53" s="44" t="s">
        <v>132</v>
      </c>
    </row>
    <row r="54" spans="3:88" ht="34.5" customHeight="1" thickBot="1" x14ac:dyDescent="0.3">
      <c r="H54" s="28"/>
      <c r="J54" s="439" t="s">
        <v>91</v>
      </c>
      <c r="K54" s="439"/>
      <c r="L54" s="439"/>
      <c r="M54" s="439"/>
      <c r="N54" s="439"/>
      <c r="W54" s="422" t="s">
        <v>328</v>
      </c>
      <c r="X54" s="422"/>
      <c r="Y54" s="422"/>
      <c r="Z54" s="422"/>
      <c r="AR54" s="28"/>
      <c r="BF54" s="35" t="s">
        <v>305</v>
      </c>
      <c r="BG54" s="84" t="str">
        <f>BG53</f>
        <v>SEM ESCOLHA</v>
      </c>
      <c r="BH54" s="32">
        <f t="shared" ref="BH54:BJ54" si="3">BH53</f>
        <v>0</v>
      </c>
      <c r="BI54" s="32">
        <f t="shared" si="3"/>
        <v>0</v>
      </c>
      <c r="BJ54" s="82">
        <f t="shared" si="3"/>
        <v>0</v>
      </c>
      <c r="BK54" s="112" t="str">
        <f>BK53</f>
        <v>SEM ESCOLHA</v>
      </c>
      <c r="BN54" s="25" t="s">
        <v>185</v>
      </c>
      <c r="BV54" s="28"/>
      <c r="BX54" s="25" t="str">
        <f>J54</f>
        <v>INSIRA AQUI SEU COMENTARIO</v>
      </c>
      <c r="CF54" s="28"/>
      <c r="CH54" s="36" t="str">
        <f>IF(BX54=BX1,"",BX54)</f>
        <v/>
      </c>
      <c r="CJ54" s="117" t="str">
        <f>IF(AND(BT41=TRUE,BO40=7),BX51,"")</f>
        <v/>
      </c>
    </row>
    <row r="55" spans="3:88" x14ac:dyDescent="0.25">
      <c r="H55" s="28"/>
      <c r="W55" s="25" t="s">
        <v>185</v>
      </c>
      <c r="AR55" s="28"/>
      <c r="BF55" s="35" t="s">
        <v>306</v>
      </c>
      <c r="BG55" s="84" t="str">
        <f>BG53</f>
        <v>SEM ESCOLHA</v>
      </c>
      <c r="BH55" s="32">
        <f t="shared" ref="BH55:BJ55" si="4">BH53</f>
        <v>0</v>
      </c>
      <c r="BI55" s="32">
        <f t="shared" si="4"/>
        <v>0</v>
      </c>
      <c r="BJ55" s="82">
        <f t="shared" si="4"/>
        <v>0</v>
      </c>
      <c r="BK55" s="112" t="str">
        <f>BK53</f>
        <v>SEM ESCOLHA</v>
      </c>
      <c r="BV55" s="28"/>
      <c r="CF55" s="28"/>
    </row>
    <row r="56" spans="3:88" s="28" customFormat="1" ht="8.25" customHeight="1" x14ac:dyDescent="0.25"/>
    <row r="57" spans="3:88" x14ac:dyDescent="0.25">
      <c r="H57" s="28"/>
      <c r="J57" s="413" t="s">
        <v>26</v>
      </c>
      <c r="K57" s="413"/>
      <c r="L57" s="413"/>
      <c r="N57" s="74" t="s">
        <v>153</v>
      </c>
      <c r="O57" s="149"/>
      <c r="V57" s="423" t="s">
        <v>99</v>
      </c>
      <c r="W57" s="423"/>
      <c r="X57" s="423"/>
      <c r="Y57" s="423"/>
      <c r="Z57" s="423"/>
      <c r="AA57" s="423"/>
      <c r="AB57" s="423"/>
      <c r="AC57" s="423"/>
      <c r="AR57" s="28"/>
      <c r="BF57" s="92"/>
      <c r="BV57" s="28"/>
      <c r="CB57" s="120" t="s">
        <v>25</v>
      </c>
      <c r="CC57" s="34" t="s">
        <v>25</v>
      </c>
      <c r="CD57" s="34" t="s">
        <v>25</v>
      </c>
      <c r="CF57" s="28"/>
    </row>
    <row r="58" spans="3:88" ht="24.75" customHeight="1" x14ac:dyDescent="0.25">
      <c r="C58" s="455" t="s">
        <v>39</v>
      </c>
      <c r="D58" s="455"/>
      <c r="H58" s="28"/>
      <c r="J58" s="413"/>
      <c r="K58" s="413"/>
      <c r="L58" s="413"/>
      <c r="N58" s="509" t="str">
        <f>IF(BG72=FALSE,CONCATENATE(BG58," - TAMANHO ",BZ58),CONCATENATE(BG58," - TAMANHO ",BX68))</f>
        <v>SEM ESCOLHA - TAMANHO SEM ESCOLHA</v>
      </c>
      <c r="O58" s="510"/>
      <c r="Q58" s="95" t="s">
        <v>11</v>
      </c>
      <c r="V58" s="423"/>
      <c r="W58" s="423"/>
      <c r="X58" s="423"/>
      <c r="Y58" s="423"/>
      <c r="Z58" s="423"/>
      <c r="AA58" s="423"/>
      <c r="AB58" s="423"/>
      <c r="AC58" s="423"/>
      <c r="AR58" s="28"/>
      <c r="BF58" s="24">
        <v>4</v>
      </c>
      <c r="BG58" s="31" t="str">
        <f>VLOOKUP(BF58,$BF$61:$BG$68,2,FALSE)</f>
        <v>SEM ESCOLHA</v>
      </c>
      <c r="BJ58" s="23">
        <v>6</v>
      </c>
      <c r="BK58" s="31" t="str">
        <f>VLOOKUP($BJ58,$BJ$61:$BL$68,2,FALSE)</f>
        <v>SEM ESCOLHA</v>
      </c>
      <c r="BL58" s="32">
        <f>VLOOKUP($BJ58,$BJ$61:$BL$68,3,FALSE)</f>
        <v>0</v>
      </c>
      <c r="BO58" s="523" t="s">
        <v>29</v>
      </c>
      <c r="BP58" s="523"/>
      <c r="BQ58" s="45"/>
      <c r="BR58" s="45"/>
      <c r="BS58" s="523" t="s">
        <v>28</v>
      </c>
      <c r="BT58" s="523"/>
      <c r="BV58" s="28"/>
      <c r="BZ58" s="116" t="str">
        <f>IF($CJ$44=0,"FALTA TAMANHO",$CJ$44)</f>
        <v>SEM ESCOLHA</v>
      </c>
      <c r="CB58" s="120">
        <v>1</v>
      </c>
      <c r="CC58" s="34">
        <v>34</v>
      </c>
      <c r="CD58" s="34">
        <v>1</v>
      </c>
      <c r="CF58" s="28"/>
    </row>
    <row r="59" spans="3:88" x14ac:dyDescent="0.25">
      <c r="C59" s="455"/>
      <c r="D59" s="455"/>
      <c r="H59" s="28"/>
      <c r="W59" s="435" t="s">
        <v>155</v>
      </c>
      <c r="X59" s="435"/>
      <c r="Y59" s="435"/>
      <c r="Z59" s="435"/>
      <c r="AA59" s="435"/>
      <c r="AB59" s="435"/>
      <c r="AC59" s="435"/>
      <c r="AR59" s="28"/>
      <c r="BV59" s="28"/>
      <c r="CB59" s="120">
        <v>2</v>
      </c>
      <c r="CC59" s="34">
        <v>36</v>
      </c>
      <c r="CD59" s="34">
        <v>2</v>
      </c>
      <c r="CF59" s="28"/>
    </row>
    <row r="60" spans="3:88" ht="23.25" customHeight="1" thickBot="1" x14ac:dyDescent="0.3">
      <c r="H60" s="28"/>
      <c r="W60" s="435"/>
      <c r="X60" s="435"/>
      <c r="Y60" s="435"/>
      <c r="Z60" s="435"/>
      <c r="AA60" s="435"/>
      <c r="AB60" s="435"/>
      <c r="AC60" s="435"/>
      <c r="AR60" s="28"/>
      <c r="BO60" s="91" t="b">
        <v>0</v>
      </c>
      <c r="BP60" s="46">
        <f>W66</f>
        <v>0</v>
      </c>
      <c r="BS60" s="91" t="b">
        <v>0</v>
      </c>
      <c r="BT60" s="46" t="str">
        <f>BP69</f>
        <v>SEM ESCOLHA</v>
      </c>
      <c r="BV60" s="28"/>
      <c r="BX60" s="26" t="b">
        <f>IF(AND(BO60=TRUE,BP60&gt;0),CONCATENATE(BO58," - LADO ",BP61," -  ",BP60," CM",""))</f>
        <v>0</v>
      </c>
      <c r="CB60" s="120">
        <v>3</v>
      </c>
      <c r="CC60" s="34">
        <v>40</v>
      </c>
      <c r="CD60" s="34">
        <v>3</v>
      </c>
      <c r="CF60" s="28"/>
    </row>
    <row r="61" spans="3:88" ht="35.25" customHeight="1" x14ac:dyDescent="0.25">
      <c r="H61" s="28"/>
      <c r="V61" s="263"/>
      <c r="W61" s="264"/>
      <c r="X61" s="265"/>
      <c r="Z61" s="263"/>
      <c r="AA61" s="264"/>
      <c r="AB61" s="264"/>
      <c r="AC61" s="264"/>
      <c r="AD61" s="265"/>
      <c r="AR61" s="28"/>
      <c r="BF61" s="48">
        <v>0</v>
      </c>
      <c r="BG61" s="49" t="s">
        <v>8</v>
      </c>
      <c r="BJ61" s="48">
        <v>0</v>
      </c>
      <c r="BK61" s="49" t="s">
        <v>8</v>
      </c>
      <c r="BL61" s="50">
        <v>0</v>
      </c>
      <c r="BO61" s="62">
        <v>2</v>
      </c>
      <c r="BP61" s="31" t="str">
        <f>VLOOKUP(BO61,$BO$121:$BP$123,2,FALSE)</f>
        <v>ESQUERDO</v>
      </c>
      <c r="BS61" s="62">
        <v>2</v>
      </c>
      <c r="BT61" s="31" t="str">
        <f>VLOOKUP(BS61,$BO$121:$BP$123,2,FALSE)</f>
        <v>ESQUERDO</v>
      </c>
      <c r="BV61" s="28"/>
      <c r="BX61" s="51" t="str">
        <f>IF(BX60=FALSE,"",BX60)</f>
        <v/>
      </c>
      <c r="BZ61" s="28" t="str">
        <f>BG58</f>
        <v>SEM ESCOLHA</v>
      </c>
      <c r="CB61" s="120">
        <v>4</v>
      </c>
      <c r="CC61" s="34">
        <v>44</v>
      </c>
      <c r="CD61" s="34">
        <v>4</v>
      </c>
      <c r="CF61" s="28"/>
    </row>
    <row r="62" spans="3:88" ht="23.25" customHeight="1" x14ac:dyDescent="0.25">
      <c r="H62" s="28"/>
      <c r="J62" s="37"/>
      <c r="L62" s="38"/>
      <c r="N62" s="52"/>
      <c r="O62" s="26"/>
      <c r="T62" s="508" t="s">
        <v>392</v>
      </c>
      <c r="V62" s="266"/>
      <c r="W62" s="267"/>
      <c r="X62" s="268"/>
      <c r="Z62" s="266"/>
      <c r="AA62" s="267"/>
      <c r="AB62" s="267"/>
      <c r="AC62" s="267"/>
      <c r="AD62" s="268"/>
      <c r="AR62" s="28"/>
      <c r="BF62" s="34">
        <v>1</v>
      </c>
      <c r="BG62" s="35" t="s">
        <v>14</v>
      </c>
      <c r="BJ62" s="34">
        <v>1</v>
      </c>
      <c r="BK62" s="35">
        <v>34</v>
      </c>
      <c r="BL62" s="32">
        <v>28</v>
      </c>
      <c r="BO62" s="48">
        <v>0</v>
      </c>
      <c r="BP62" s="49" t="s">
        <v>8</v>
      </c>
      <c r="BS62" s="48">
        <v>0</v>
      </c>
      <c r="BT62" s="49" t="s">
        <v>8</v>
      </c>
      <c r="BV62" s="28"/>
      <c r="CB62" s="120">
        <v>5</v>
      </c>
      <c r="CC62" s="34">
        <v>46</v>
      </c>
      <c r="CD62" s="34">
        <v>5</v>
      </c>
      <c r="CF62" s="28"/>
    </row>
    <row r="63" spans="3:88" ht="23.25" customHeight="1" x14ac:dyDescent="0.25">
      <c r="H63" s="28"/>
      <c r="J63" s="37"/>
      <c r="L63" s="38"/>
      <c r="N63" s="52"/>
      <c r="O63" s="26"/>
      <c r="T63" s="508"/>
      <c r="V63" s="269"/>
      <c r="W63" s="270"/>
      <c r="X63" s="268"/>
      <c r="Y63" s="53"/>
      <c r="Z63" s="266"/>
      <c r="AA63" s="267"/>
      <c r="AB63" s="267"/>
      <c r="AC63" s="267"/>
      <c r="AD63" s="268"/>
      <c r="AR63" s="28"/>
      <c r="BF63" s="34">
        <v>2</v>
      </c>
      <c r="BG63" s="35" t="s">
        <v>13</v>
      </c>
      <c r="BJ63" s="34">
        <v>2</v>
      </c>
      <c r="BK63" s="35">
        <v>36</v>
      </c>
      <c r="BL63" s="32">
        <v>30</v>
      </c>
      <c r="BO63" s="34">
        <v>1</v>
      </c>
      <c r="BP63" s="35" t="s">
        <v>23</v>
      </c>
      <c r="BS63" s="34">
        <v>1</v>
      </c>
      <c r="BT63" s="35" t="s">
        <v>23</v>
      </c>
      <c r="BV63" s="28"/>
      <c r="BX63" s="26" t="b">
        <f>IF(AND(BS60=TRUE,BT60&gt;0),CONCATENATE(BS58," - LADO ",BT61," -  ESPUMA ",BT60,""))</f>
        <v>0</v>
      </c>
      <c r="BZ63" s="98" t="str">
        <f>BK58</f>
        <v>SEM ESCOLHA</v>
      </c>
      <c r="CF63" s="28"/>
    </row>
    <row r="64" spans="3:88" ht="23.25" customHeight="1" x14ac:dyDescent="0.25">
      <c r="H64" s="28"/>
      <c r="J64" s="37"/>
      <c r="L64" s="38"/>
      <c r="N64" s="52"/>
      <c r="O64" s="26"/>
      <c r="T64" s="46">
        <v>28</v>
      </c>
      <c r="V64" s="266"/>
      <c r="W64" s="267"/>
      <c r="X64" s="268"/>
      <c r="Z64" s="266"/>
      <c r="AA64" s="267"/>
      <c r="AB64" s="267"/>
      <c r="AC64" s="267"/>
      <c r="AD64" s="268"/>
      <c r="AR64" s="28"/>
      <c r="BF64" s="34">
        <v>3</v>
      </c>
      <c r="BG64" s="35" t="s">
        <v>27</v>
      </c>
      <c r="BJ64" s="34">
        <v>3</v>
      </c>
      <c r="BK64" s="35">
        <v>40</v>
      </c>
      <c r="BL64" s="32">
        <v>34</v>
      </c>
      <c r="BO64" s="34">
        <v>2</v>
      </c>
      <c r="BP64" s="35" t="s">
        <v>24</v>
      </c>
      <c r="BS64" s="34" t="b">
        <v>0</v>
      </c>
      <c r="BT64" s="35" t="s">
        <v>24</v>
      </c>
      <c r="BV64" s="28"/>
      <c r="BX64" s="51" t="str">
        <f>IF(BX63=FALSE,"",BX63)</f>
        <v/>
      </c>
      <c r="CB64" s="121" t="str">
        <f>VLOOKUP(BZ58,$CC$57:$CD$62,2,FALSE)</f>
        <v>SEM ESCOLHA</v>
      </c>
      <c r="CD64" s="122" t="e">
        <f>IF(CB64=5,5,CB64+1)</f>
        <v>#VALUE!</v>
      </c>
      <c r="CF64" s="28"/>
    </row>
    <row r="65" spans="3:88" ht="23.25" customHeight="1" x14ac:dyDescent="0.25">
      <c r="H65" s="28"/>
      <c r="J65" s="37"/>
      <c r="L65" s="38"/>
      <c r="N65" s="52"/>
      <c r="O65" s="26"/>
      <c r="T65" s="46">
        <v>30</v>
      </c>
      <c r="V65" s="266"/>
      <c r="W65" s="267"/>
      <c r="X65" s="268"/>
      <c r="Z65" s="266"/>
      <c r="AA65" s="267"/>
      <c r="AB65" s="267"/>
      <c r="AC65" s="267"/>
      <c r="AD65" s="268"/>
      <c r="AR65" s="28"/>
      <c r="BF65" s="39">
        <v>4</v>
      </c>
      <c r="BG65" s="40" t="s">
        <v>25</v>
      </c>
      <c r="BJ65" s="34">
        <v>4</v>
      </c>
      <c r="BK65" s="35">
        <v>44</v>
      </c>
      <c r="BL65" s="32">
        <v>37</v>
      </c>
      <c r="BV65" s="28"/>
      <c r="CF65" s="28"/>
      <c r="CH65" s="119" t="e">
        <f>IF(BX66=TRUE,"SEM ESCOLHA",BX68)</f>
        <v>#VALUE!</v>
      </c>
    </row>
    <row r="66" spans="3:88" ht="23.25" customHeight="1" thickBot="1" x14ac:dyDescent="0.3">
      <c r="H66" s="28"/>
      <c r="J66" s="37"/>
      <c r="L66" s="38"/>
      <c r="N66" s="52"/>
      <c r="O66" s="26"/>
      <c r="T66" s="46">
        <v>34</v>
      </c>
      <c r="V66" s="266"/>
      <c r="W66" s="277">
        <v>0</v>
      </c>
      <c r="X66" s="268"/>
      <c r="Z66" s="266"/>
      <c r="AA66" s="267"/>
      <c r="AB66" s="278">
        <f>BQ69</f>
        <v>0</v>
      </c>
      <c r="AD66" s="268"/>
      <c r="AR66" s="28"/>
      <c r="BF66" s="41"/>
      <c r="BG66" s="35"/>
      <c r="BJ66" s="34">
        <v>5</v>
      </c>
      <c r="BK66" s="35">
        <v>46</v>
      </c>
      <c r="BL66" s="32">
        <v>40</v>
      </c>
      <c r="BV66" s="28"/>
      <c r="BX66" s="511" t="b">
        <f>ISNA(BX68)</f>
        <v>0</v>
      </c>
      <c r="BY66" s="511"/>
      <c r="CA66" s="25" t="s">
        <v>221</v>
      </c>
      <c r="CF66" s="28"/>
    </row>
    <row r="67" spans="3:88" ht="23.25" customHeight="1" thickBot="1" x14ac:dyDescent="0.3">
      <c r="H67" s="28"/>
      <c r="J67" s="37"/>
      <c r="L67" s="38"/>
      <c r="N67" s="52"/>
      <c r="O67" s="26"/>
      <c r="T67" s="46">
        <v>37</v>
      </c>
      <c r="V67" s="266"/>
      <c r="W67" s="140" t="s">
        <v>168</v>
      </c>
      <c r="X67" s="268"/>
      <c r="Z67" s="266"/>
      <c r="AA67" s="267"/>
      <c r="AB67" s="436" t="s">
        <v>98</v>
      </c>
      <c r="AC67" s="437"/>
      <c r="AD67" s="268"/>
      <c r="AR67" s="28"/>
      <c r="BF67" s="41"/>
      <c r="BG67" s="35"/>
      <c r="BJ67" s="39">
        <v>6</v>
      </c>
      <c r="BK67" s="40" t="s">
        <v>25</v>
      </c>
      <c r="BL67" s="40">
        <v>0</v>
      </c>
      <c r="BS67" s="523" t="s">
        <v>248</v>
      </c>
      <c r="BT67" s="523"/>
      <c r="BV67" s="28"/>
      <c r="CA67" s="25" t="e">
        <f>VLOOKUP(CD64,$CB$57:$CC$62,2,FALSE)</f>
        <v>#VALUE!</v>
      </c>
      <c r="CD67" s="51" t="str">
        <f>IF(BG72=FALSE,BZ58,BZ63)</f>
        <v>SEM ESCOLHA</v>
      </c>
      <c r="CF67" s="28"/>
    </row>
    <row r="68" spans="3:88" ht="23.25" customHeight="1" thickBot="1" x14ac:dyDescent="0.3">
      <c r="H68" s="28"/>
      <c r="J68" s="37"/>
      <c r="L68" s="38"/>
      <c r="N68" s="52"/>
      <c r="O68" s="26"/>
      <c r="T68" s="46">
        <v>40</v>
      </c>
      <c r="V68" s="266"/>
      <c r="W68" s="271"/>
      <c r="X68" s="268"/>
      <c r="Z68" s="266"/>
      <c r="AA68" s="267"/>
      <c r="AB68" s="267"/>
      <c r="AC68" s="267"/>
      <c r="AD68" s="268"/>
      <c r="AR68" s="28"/>
      <c r="BF68" s="41"/>
      <c r="BG68" s="35"/>
      <c r="BJ68" s="41"/>
      <c r="BK68" s="35"/>
      <c r="BL68" s="35"/>
      <c r="BS68" s="425" t="b">
        <v>0</v>
      </c>
      <c r="BT68" s="426"/>
      <c r="BV68" s="28"/>
      <c r="BX68" s="119" t="e">
        <f>IF(CD67&gt;CA67,CA67,CD67)</f>
        <v>#VALUE!</v>
      </c>
      <c r="CF68" s="28"/>
    </row>
    <row r="69" spans="3:88" ht="23.25" customHeight="1" thickBot="1" x14ac:dyDescent="0.3">
      <c r="H69" s="28"/>
      <c r="J69" s="37"/>
      <c r="L69" s="38"/>
      <c r="N69" s="52"/>
      <c r="O69" s="26"/>
      <c r="Q69" s="286"/>
      <c r="R69" s="286"/>
      <c r="S69" s="286"/>
      <c r="T69" s="286"/>
      <c r="V69" s="266"/>
      <c r="W69" s="267"/>
      <c r="X69" s="268"/>
      <c r="Z69" s="266"/>
      <c r="AA69" s="267"/>
      <c r="AB69" s="267"/>
      <c r="AC69" s="267"/>
      <c r="AD69" s="268"/>
      <c r="AR69" s="28"/>
      <c r="BO69" s="23">
        <v>4</v>
      </c>
      <c r="BP69" s="89" t="str">
        <f>VLOOKUP($BO69,$BO$70:$BQ$73,2,FALSE)</f>
        <v>SEM ESCOLHA</v>
      </c>
      <c r="BQ69" s="90">
        <f>VLOOKUP($BO69,$BO$70:$BQ$73,3,FALSE)</f>
        <v>0</v>
      </c>
      <c r="BS69" s="141">
        <v>3</v>
      </c>
      <c r="BT69" s="140" t="str">
        <f>VLOOKUP(BS69,$BS$70:$BT$73,2,FALSE)</f>
        <v>SEM ESCOLHA</v>
      </c>
      <c r="BV69" s="28"/>
      <c r="CA69" s="516" t="s">
        <v>222</v>
      </c>
      <c r="CB69" s="516"/>
      <c r="CC69" s="516"/>
      <c r="CD69" s="516"/>
      <c r="CF69" s="28"/>
    </row>
    <row r="70" spans="3:88" ht="15" customHeight="1" x14ac:dyDescent="0.25">
      <c r="H70" s="28"/>
      <c r="M70" s="250"/>
      <c r="N70" s="250"/>
      <c r="O70" s="250"/>
      <c r="P70" s="512" t="str">
        <f>IF(BJ58=6,"",IF(CD67&gt;CA67,CA69,""))</f>
        <v/>
      </c>
      <c r="Q70" s="512"/>
      <c r="R70" s="512"/>
      <c r="S70" s="512"/>
      <c r="T70" s="512"/>
      <c r="U70" s="133"/>
      <c r="V70" s="272"/>
      <c r="W70" s="273"/>
      <c r="X70" s="268"/>
      <c r="Z70" s="266"/>
      <c r="AA70" s="267"/>
      <c r="AB70" s="267"/>
      <c r="AC70" s="267"/>
      <c r="AD70" s="268"/>
      <c r="AR70" s="28"/>
      <c r="BJ70" s="23">
        <v>1</v>
      </c>
      <c r="BK70" s="89" t="str">
        <f>VLOOKUP($BJ70,$BJ$71:$BL$74,2,FALSE)</f>
        <v>2"</v>
      </c>
      <c r="BL70" s="90">
        <f>VLOOKUP($BJ70,$BJ$71:$BL$74,3,FALSE)</f>
        <v>50.8</v>
      </c>
      <c r="BO70" s="34">
        <v>1</v>
      </c>
      <c r="BP70" s="35" t="s">
        <v>318</v>
      </c>
      <c r="BQ70" s="88" t="s">
        <v>321</v>
      </c>
      <c r="BS70" s="136">
        <v>0</v>
      </c>
      <c r="BT70" s="40" t="s">
        <v>25</v>
      </c>
      <c r="BV70" s="28"/>
      <c r="CA70" s="516"/>
      <c r="CB70" s="516"/>
      <c r="CC70" s="516"/>
      <c r="CD70" s="516"/>
      <c r="CF70" s="28"/>
      <c r="CH70" s="51" t="str">
        <f>IF(BS68=FALSE,"",BS67)</f>
        <v/>
      </c>
      <c r="CJ70" s="51" t="str">
        <f>IF(BS68=FALSE,"",BT69)</f>
        <v/>
      </c>
    </row>
    <row r="71" spans="3:88" ht="15" customHeight="1" x14ac:dyDescent="0.25">
      <c r="H71" s="28"/>
      <c r="L71" s="250"/>
      <c r="M71" s="250"/>
      <c r="N71" s="250"/>
      <c r="O71" s="250"/>
      <c r="P71" s="512"/>
      <c r="Q71" s="512"/>
      <c r="R71" s="512"/>
      <c r="S71" s="512"/>
      <c r="T71" s="512"/>
      <c r="U71" s="133"/>
      <c r="V71" s="272"/>
      <c r="W71" s="273"/>
      <c r="X71" s="268"/>
      <c r="Z71" s="266"/>
      <c r="AA71" s="267"/>
      <c r="AB71" s="267"/>
      <c r="AC71" s="267"/>
      <c r="AD71" s="268"/>
      <c r="AR71" s="28"/>
      <c r="BF71" s="506" t="s">
        <v>154</v>
      </c>
      <c r="BG71" s="506"/>
      <c r="BJ71" s="34">
        <v>1</v>
      </c>
      <c r="BK71" s="35" t="s">
        <v>165</v>
      </c>
      <c r="BL71" s="88">
        <f>25.4*2</f>
        <v>50.8</v>
      </c>
      <c r="BO71" s="34">
        <v>2</v>
      </c>
      <c r="BP71" s="35" t="s">
        <v>319</v>
      </c>
      <c r="BQ71" s="88" t="s">
        <v>322</v>
      </c>
      <c r="BS71" s="34">
        <v>1</v>
      </c>
      <c r="BT71" s="35" t="s">
        <v>246</v>
      </c>
      <c r="BV71" s="28"/>
      <c r="CA71" s="516"/>
      <c r="CB71" s="516"/>
      <c r="CC71" s="516"/>
      <c r="CD71" s="516"/>
      <c r="CF71" s="28"/>
    </row>
    <row r="72" spans="3:88" ht="19.5" customHeight="1" thickBot="1" x14ac:dyDescent="0.3">
      <c r="H72" s="28"/>
      <c r="J72" s="43" t="s">
        <v>90</v>
      </c>
      <c r="L72" s="250"/>
      <c r="M72" s="250"/>
      <c r="N72" s="250"/>
      <c r="O72" s="250"/>
      <c r="P72" s="512"/>
      <c r="Q72" s="512"/>
      <c r="R72" s="512"/>
      <c r="S72" s="512"/>
      <c r="T72" s="512"/>
      <c r="U72" s="133"/>
      <c r="V72" s="272"/>
      <c r="W72" s="273"/>
      <c r="X72" s="268"/>
      <c r="Z72" s="266"/>
      <c r="AA72" s="267"/>
      <c r="AB72" s="267"/>
      <c r="AC72" s="267"/>
      <c r="AD72" s="268"/>
      <c r="AR72" s="28"/>
      <c r="BG72" s="91" t="b">
        <v>0</v>
      </c>
      <c r="BJ72" s="34">
        <v>2</v>
      </c>
      <c r="BK72" s="35" t="s">
        <v>166</v>
      </c>
      <c r="BL72" s="88">
        <f>25.4*3</f>
        <v>76.199999999999989</v>
      </c>
      <c r="BO72" s="34">
        <v>3</v>
      </c>
      <c r="BP72" s="35" t="s">
        <v>320</v>
      </c>
      <c r="BQ72" s="88" t="s">
        <v>323</v>
      </c>
      <c r="BS72" s="34">
        <v>2</v>
      </c>
      <c r="BT72" s="35" t="s">
        <v>247</v>
      </c>
      <c r="BV72" s="28"/>
      <c r="BX72" s="29" t="s">
        <v>56</v>
      </c>
      <c r="CA72" s="516"/>
      <c r="CB72" s="516"/>
      <c r="CC72" s="516"/>
      <c r="CD72" s="516"/>
      <c r="CF72" s="28"/>
    </row>
    <row r="73" spans="3:88" ht="32.25" customHeight="1" thickBot="1" x14ac:dyDescent="0.3">
      <c r="H73" s="28"/>
      <c r="J73" s="439" t="s">
        <v>91</v>
      </c>
      <c r="K73" s="439"/>
      <c r="L73" s="439"/>
      <c r="M73" s="439"/>
      <c r="N73" s="439"/>
      <c r="O73" s="250"/>
      <c r="P73" s="512"/>
      <c r="Q73" s="512"/>
      <c r="R73" s="512"/>
      <c r="S73" s="512"/>
      <c r="T73" s="512"/>
      <c r="V73" s="274"/>
      <c r="W73" s="275"/>
      <c r="X73" s="276"/>
      <c r="Z73" s="274"/>
      <c r="AA73" s="275"/>
      <c r="AB73" s="275"/>
      <c r="AC73" s="275"/>
      <c r="AD73" s="276"/>
      <c r="AR73" s="28"/>
      <c r="BJ73" s="34">
        <v>3</v>
      </c>
      <c r="BK73" s="35" t="s">
        <v>167</v>
      </c>
      <c r="BL73" s="88">
        <f>25.4*5</f>
        <v>127</v>
      </c>
      <c r="BO73" s="34">
        <v>4</v>
      </c>
      <c r="BP73" s="35" t="s">
        <v>25</v>
      </c>
      <c r="BQ73" s="88">
        <v>0</v>
      </c>
      <c r="BS73" s="136">
        <v>3</v>
      </c>
      <c r="BT73" s="40" t="s">
        <v>25</v>
      </c>
      <c r="BV73" s="28"/>
      <c r="BX73" s="55" t="str">
        <f>IF(J73=$BX$1,"",J73)</f>
        <v/>
      </c>
      <c r="CA73" s="516"/>
      <c r="CB73" s="516"/>
      <c r="CC73" s="516"/>
      <c r="CD73" s="516"/>
      <c r="CF73" s="28"/>
    </row>
    <row r="74" spans="3:88" x14ac:dyDescent="0.25">
      <c r="H74" s="28"/>
      <c r="P74" s="286"/>
      <c r="Q74" s="286"/>
      <c r="R74" s="286"/>
      <c r="S74" s="286"/>
      <c r="T74" s="286"/>
      <c r="AR74" s="28"/>
      <c r="BJ74" s="34">
        <v>4</v>
      </c>
      <c r="BK74" s="35" t="s">
        <v>25</v>
      </c>
      <c r="BL74" s="88">
        <v>0</v>
      </c>
      <c r="BV74" s="28"/>
      <c r="CF74" s="28"/>
    </row>
    <row r="75" spans="3:88" s="28" customFormat="1" ht="8.25" customHeight="1" x14ac:dyDescent="0.25"/>
    <row r="76" spans="3:88" x14ac:dyDescent="0.25">
      <c r="H76" s="28"/>
      <c r="J76" s="413" t="s">
        <v>12</v>
      </c>
      <c r="K76" s="413"/>
      <c r="L76" s="413"/>
      <c r="N76" s="96" t="s">
        <v>186</v>
      </c>
      <c r="O76" s="149"/>
      <c r="AR76" s="28"/>
      <c r="BS76" s="48">
        <v>0</v>
      </c>
      <c r="BT76" s="49" t="s">
        <v>8</v>
      </c>
      <c r="BV76" s="28"/>
      <c r="CF76" s="28"/>
    </row>
    <row r="77" spans="3:88" ht="24.75" customHeight="1" x14ac:dyDescent="0.25">
      <c r="C77" s="455" t="s">
        <v>39</v>
      </c>
      <c r="D77" s="455"/>
      <c r="H77" s="28"/>
      <c r="J77" s="413"/>
      <c r="K77" s="413"/>
      <c r="L77" s="413"/>
      <c r="N77" s="509" t="str">
        <f>IF(BG91=FALSE,CONCATENATE(BG77," - TAMANHO ",CA77),CONCATENATE(BG77," - TAMANHO ",CC81))</f>
        <v>SEM ESCOLHA - TAMANHO SEM ESCOLHA</v>
      </c>
      <c r="O77" s="510"/>
      <c r="U77" s="309" t="s">
        <v>11</v>
      </c>
      <c r="AR77" s="28"/>
      <c r="BF77" s="24">
        <v>5</v>
      </c>
      <c r="BG77" s="31" t="str">
        <f>VLOOKUP(BF77,$BF$80:$BG$87,2,FALSE)</f>
        <v>SEM ESCOLHA</v>
      </c>
      <c r="BJ77" s="23">
        <v>6</v>
      </c>
      <c r="BK77" s="31" t="str">
        <f>VLOOKUP(BJ77,$BJ$80:$BL$86,2,FALSE)</f>
        <v>SEM ESCOLHA</v>
      </c>
      <c r="BL77" s="32">
        <f>VLOOKUP(BJ77,$BJ$80:$BL$86,3,FALSE)</f>
        <v>0</v>
      </c>
      <c r="BP77" s="506" t="s">
        <v>102</v>
      </c>
      <c r="BQ77" s="506"/>
      <c r="BV77" s="28"/>
      <c r="CA77" s="116" t="str">
        <f>IF($CJ$44=0,"FALTA TAMANHO",$CJ$44)</f>
        <v>SEM ESCOLHA</v>
      </c>
      <c r="CF77" s="28"/>
    </row>
    <row r="78" spans="3:88" x14ac:dyDescent="0.25">
      <c r="C78" s="455"/>
      <c r="D78" s="455"/>
      <c r="H78" s="28"/>
      <c r="AR78" s="28"/>
      <c r="BV78" s="28"/>
      <c r="BX78" s="25" t="s">
        <v>281</v>
      </c>
      <c r="CF78" s="28"/>
    </row>
    <row r="79" spans="3:88" ht="23.25" customHeight="1" x14ac:dyDescent="0.25">
      <c r="H79" s="28"/>
      <c r="AE79" s="438" t="s">
        <v>329</v>
      </c>
      <c r="AF79" s="438"/>
      <c r="AG79" s="438"/>
      <c r="AR79" s="28"/>
      <c r="BP79" s="61" t="b">
        <v>0</v>
      </c>
      <c r="BQ79" s="1">
        <f>AG92</f>
        <v>0</v>
      </c>
      <c r="BV79" s="28"/>
      <c r="BX79" s="56" t="s">
        <v>136</v>
      </c>
      <c r="CC79" s="511" t="b">
        <f>ISNA(CC81)</f>
        <v>0</v>
      </c>
      <c r="CD79" s="511"/>
      <c r="CF79" s="28"/>
    </row>
    <row r="80" spans="3:88" ht="35.25" customHeight="1" x14ac:dyDescent="0.25">
      <c r="H80" s="28"/>
      <c r="W80" s="47" t="s">
        <v>393</v>
      </c>
      <c r="AE80" s="438"/>
      <c r="AF80" s="438"/>
      <c r="AG80" s="438"/>
      <c r="AH80"/>
      <c r="AI80"/>
      <c r="AJ80"/>
      <c r="AR80" s="28"/>
      <c r="BF80" s="48">
        <v>0</v>
      </c>
      <c r="BG80" s="49" t="s">
        <v>8</v>
      </c>
      <c r="BJ80" s="48">
        <v>0</v>
      </c>
      <c r="BK80" s="49" t="s">
        <v>8</v>
      </c>
      <c r="BL80" s="50">
        <v>0</v>
      </c>
      <c r="BV80" s="28"/>
      <c r="BX80" s="51" t="str">
        <f>IF(BP79=FALSE,"",IF(AG92=0,"",CONCATENATE(BX78,BQ79," CM ",BX79)))</f>
        <v/>
      </c>
      <c r="CF80" s="28"/>
      <c r="CH80" s="119" t="e">
        <f>IF(CC79=TRUE,"SEM ESCOLHA",CC81)</f>
        <v>#VALUE!</v>
      </c>
    </row>
    <row r="81" spans="6:87" ht="23.25" customHeight="1" x14ac:dyDescent="0.25">
      <c r="F81" s="512" t="str">
        <f>IF(BF77=2,BB80,"")</f>
        <v/>
      </c>
      <c r="H81" s="28"/>
      <c r="J81" s="37"/>
      <c r="L81" s="37"/>
      <c r="N81" s="38"/>
      <c r="O81" s="26"/>
      <c r="P81" s="52"/>
      <c r="Q81" s="52"/>
      <c r="W81" s="46">
        <v>18</v>
      </c>
      <c r="AE81" s="438"/>
      <c r="AF81" s="438"/>
      <c r="AG81" s="438"/>
      <c r="AR81" s="28"/>
      <c r="BF81" s="34">
        <v>1</v>
      </c>
      <c r="BG81" s="35" t="s">
        <v>374</v>
      </c>
      <c r="BJ81" s="34">
        <v>1</v>
      </c>
      <c r="BK81" s="35">
        <v>34</v>
      </c>
      <c r="BL81" s="32">
        <v>28</v>
      </c>
      <c r="BV81" s="28"/>
      <c r="CC81" s="119" t="e">
        <f>IF(CD87&gt;CA87,CA87,CD87)</f>
        <v>#VALUE!</v>
      </c>
      <c r="CF81" s="28"/>
    </row>
    <row r="82" spans="6:87" ht="23.25" customHeight="1" x14ac:dyDescent="0.25">
      <c r="F82" s="512"/>
      <c r="H82" s="28"/>
      <c r="J82" s="37"/>
      <c r="L82" s="37"/>
      <c r="N82" s="38"/>
      <c r="O82" s="26"/>
      <c r="P82" s="52"/>
      <c r="Q82" s="52"/>
      <c r="V82" s="75"/>
      <c r="W82" s="46">
        <v>20</v>
      </c>
      <c r="AR82" s="28"/>
      <c r="BF82" s="34">
        <v>2</v>
      </c>
      <c r="BG82" s="35" t="s">
        <v>14</v>
      </c>
      <c r="BJ82" s="34">
        <v>2</v>
      </c>
      <c r="BK82" s="35">
        <v>36</v>
      </c>
      <c r="BL82" s="32">
        <v>30</v>
      </c>
      <c r="BP82" s="506" t="s">
        <v>137</v>
      </c>
      <c r="BQ82" s="506"/>
      <c r="BV82" s="28"/>
      <c r="CF82" s="28"/>
    </row>
    <row r="83" spans="6:87" ht="23.25" customHeight="1" x14ac:dyDescent="0.25">
      <c r="F83" s="512"/>
      <c r="H83" s="28"/>
      <c r="J83" s="37"/>
      <c r="L83" s="37"/>
      <c r="N83" s="38"/>
      <c r="O83" s="26"/>
      <c r="P83" s="52"/>
      <c r="Q83" s="52"/>
      <c r="W83" s="46">
        <v>24</v>
      </c>
      <c r="AR83" s="28"/>
      <c r="BF83" s="34">
        <v>3</v>
      </c>
      <c r="BG83" s="35" t="s">
        <v>15</v>
      </c>
      <c r="BJ83" s="34">
        <v>3</v>
      </c>
      <c r="BK83" s="35">
        <v>40</v>
      </c>
      <c r="BL83" s="32">
        <v>34</v>
      </c>
      <c r="BP83" s="63" t="b">
        <v>0</v>
      </c>
      <c r="BV83" s="28"/>
      <c r="BX83" s="51" t="str">
        <f>IF(BP83=FALSE,"",BP82)</f>
        <v/>
      </c>
      <c r="CA83" s="54" t="str">
        <f>BG77</f>
        <v>SEM ESCOLHA</v>
      </c>
      <c r="CF83" s="28"/>
    </row>
    <row r="84" spans="6:87" ht="23.25" customHeight="1" x14ac:dyDescent="0.25">
      <c r="F84" s="512"/>
      <c r="H84" s="28"/>
      <c r="J84" s="37"/>
      <c r="L84" s="37"/>
      <c r="N84" s="38"/>
      <c r="O84" s="26"/>
      <c r="P84" s="52"/>
      <c r="Q84" s="52"/>
      <c r="W84" s="46">
        <v>28</v>
      </c>
      <c r="AR84" s="28"/>
      <c r="BF84" s="34">
        <v>4</v>
      </c>
      <c r="BG84" s="35" t="s">
        <v>13</v>
      </c>
      <c r="BJ84" s="34">
        <v>4</v>
      </c>
      <c r="BK84" s="35">
        <v>44</v>
      </c>
      <c r="BL84" s="32">
        <v>37</v>
      </c>
      <c r="BV84" s="28"/>
      <c r="CB84" s="99" t="str">
        <f>BK77</f>
        <v>SEM ESCOLHA</v>
      </c>
      <c r="CF84" s="28"/>
    </row>
    <row r="85" spans="6:87" ht="23.25" customHeight="1" x14ac:dyDescent="0.25">
      <c r="F85" s="512"/>
      <c r="H85" s="28"/>
      <c r="J85" s="37"/>
      <c r="L85" s="37"/>
      <c r="N85" s="38"/>
      <c r="O85" s="26"/>
      <c r="P85" s="52"/>
      <c r="Q85" s="52"/>
      <c r="W85" s="46">
        <v>30</v>
      </c>
      <c r="AR85" s="28"/>
      <c r="BF85" s="151">
        <v>5</v>
      </c>
      <c r="BG85" s="40" t="s">
        <v>25</v>
      </c>
      <c r="BJ85" s="34">
        <v>5</v>
      </c>
      <c r="BK85" s="35">
        <v>46</v>
      </c>
      <c r="BL85" s="32">
        <v>40</v>
      </c>
      <c r="BV85" s="28"/>
      <c r="CF85" s="28"/>
    </row>
    <row r="86" spans="6:87" ht="23.25" customHeight="1" x14ac:dyDescent="0.25">
      <c r="F86" s="512"/>
      <c r="H86" s="28"/>
      <c r="J86" s="37"/>
      <c r="L86" s="37"/>
      <c r="N86" s="38"/>
      <c r="O86" s="26"/>
      <c r="P86" s="52"/>
      <c r="Q86" s="52"/>
      <c r="S86" s="444"/>
      <c r="T86" s="444"/>
      <c r="U86" s="444"/>
      <c r="V86" s="444"/>
      <c r="AE86"/>
      <c r="AF86"/>
      <c r="AG86"/>
      <c r="AH86"/>
      <c r="AR86" s="28"/>
      <c r="BF86" s="41"/>
      <c r="BG86" s="35"/>
      <c r="BJ86" s="39">
        <v>6</v>
      </c>
      <c r="BK86" s="40" t="s">
        <v>25</v>
      </c>
      <c r="BL86" s="40">
        <v>0</v>
      </c>
      <c r="BP86" s="506" t="s">
        <v>172</v>
      </c>
      <c r="BQ86" s="506"/>
      <c r="BV86" s="28"/>
      <c r="BX86" s="51" t="str">
        <f>IF(BP87=TRUE,BP89,"")</f>
        <v/>
      </c>
      <c r="CA86" s="25" t="s">
        <v>221</v>
      </c>
      <c r="CF86" s="28"/>
    </row>
    <row r="87" spans="6:87" ht="23.25" customHeight="1" x14ac:dyDescent="0.25">
      <c r="F87" s="512"/>
      <c r="H87" s="28"/>
      <c r="J87" s="37"/>
      <c r="L87" s="37"/>
      <c r="N87" s="38"/>
      <c r="O87" s="26"/>
      <c r="P87" s="52"/>
      <c r="Q87" s="52"/>
      <c r="S87" s="444"/>
      <c r="T87" s="444"/>
      <c r="U87" s="444"/>
      <c r="V87" s="444"/>
      <c r="AC87" s="254"/>
      <c r="AD87" s="254"/>
      <c r="AE87"/>
      <c r="AF87"/>
      <c r="AG87"/>
      <c r="AH87"/>
      <c r="AI87" s="254"/>
      <c r="AJ87" s="254"/>
      <c r="AK87" s="254"/>
      <c r="AL87" s="254"/>
      <c r="AM87" s="254"/>
      <c r="AN87" s="254"/>
      <c r="AO87" s="254"/>
      <c r="AP87" s="254"/>
      <c r="AQ87" s="254"/>
      <c r="AR87" s="28"/>
      <c r="BF87" s="41"/>
      <c r="BG87" s="35"/>
      <c r="BJ87" s="41"/>
      <c r="BK87" s="35"/>
      <c r="BL87" s="35"/>
      <c r="BP87" s="63" t="b">
        <v>0</v>
      </c>
      <c r="BV87" s="28"/>
      <c r="CA87" s="517" t="e">
        <f>CA67</f>
        <v>#VALUE!</v>
      </c>
      <c r="CB87" s="517"/>
      <c r="CD87" s="51" t="str">
        <f>IF(BG91=FALSE,CA77,CB84)</f>
        <v>SEM ESCOLHA</v>
      </c>
      <c r="CF87" s="28"/>
    </row>
    <row r="88" spans="6:87" ht="23.25" customHeight="1" thickBot="1" x14ac:dyDescent="0.3">
      <c r="F88" s="512"/>
      <c r="H88" s="28"/>
      <c r="J88" s="37"/>
      <c r="L88" s="37"/>
      <c r="N88" s="38"/>
      <c r="O88" s="26"/>
      <c r="P88" s="52"/>
      <c r="Q88" s="52"/>
      <c r="R88" s="150"/>
      <c r="S88" s="150"/>
      <c r="T88" s="512" t="str">
        <f>IF(BJ77=6,"",IF(CD87&gt;CA87,BZ89,""))</f>
        <v/>
      </c>
      <c r="U88" s="512"/>
      <c r="V88" s="248"/>
      <c r="W88" s="248"/>
      <c r="AC88" s="254"/>
      <c r="AD88" s="254"/>
      <c r="AE88"/>
      <c r="AF88"/>
      <c r="AG88"/>
      <c r="AH88"/>
      <c r="AJ88" s="254"/>
      <c r="AK88" s="254"/>
      <c r="AL88" s="254"/>
      <c r="AM88" s="254"/>
      <c r="AN88" s="254"/>
      <c r="AO88" s="254"/>
      <c r="AP88" s="254"/>
      <c r="AQ88" s="254"/>
      <c r="AR88" s="28"/>
      <c r="BV88" s="28"/>
      <c r="BX88" s="51" t="str">
        <f>IF(BP92=FALSE,"",BP91)</f>
        <v/>
      </c>
      <c r="CF88" s="28"/>
    </row>
    <row r="89" spans="6:87" ht="22.5" customHeight="1" thickBot="1" x14ac:dyDescent="0.3">
      <c r="F89" s="512"/>
      <c r="H89" s="28"/>
      <c r="P89" s="150"/>
      <c r="Q89" s="150"/>
      <c r="R89" s="150"/>
      <c r="T89" s="512"/>
      <c r="U89" s="512"/>
      <c r="AC89" s="254"/>
      <c r="AD89" s="254"/>
      <c r="AE89" s="254"/>
      <c r="AF89" s="254"/>
      <c r="AG89" s="254"/>
      <c r="AH89" s="254"/>
      <c r="AI89" s="254"/>
      <c r="AJ89" s="254"/>
      <c r="AK89" s="254"/>
      <c r="AL89" s="254"/>
      <c r="AM89" s="254"/>
      <c r="AN89" s="254"/>
      <c r="AO89" s="254"/>
      <c r="AP89" s="254"/>
      <c r="AQ89" s="254"/>
      <c r="AR89" s="28"/>
      <c r="BP89" s="36" t="str">
        <f>IF(BP87=TRUE,BP86,"")</f>
        <v/>
      </c>
      <c r="BV89" s="28"/>
      <c r="BZ89" s="516" t="s">
        <v>311</v>
      </c>
      <c r="CA89" s="516"/>
      <c r="CB89" s="516"/>
      <c r="CC89" s="516"/>
      <c r="CD89" s="516"/>
      <c r="CF89" s="28"/>
      <c r="CI89" s="51" t="str">
        <f>IF(BP140=FALSE,"",BO139)</f>
        <v/>
      </c>
    </row>
    <row r="90" spans="6:87" ht="19.5" customHeight="1" x14ac:dyDescent="0.25">
      <c r="F90" s="512"/>
      <c r="H90" s="28"/>
      <c r="P90" s="150"/>
      <c r="Q90" s="150"/>
      <c r="R90" s="150"/>
      <c r="T90" s="512"/>
      <c r="U90" s="512"/>
      <c r="AC90" s="254"/>
      <c r="AD90" s="254"/>
      <c r="AE90" s="254"/>
      <c r="AJ90" s="254"/>
      <c r="AK90" s="254"/>
      <c r="AL90" s="254"/>
      <c r="AM90" s="254"/>
      <c r="AN90" s="254"/>
      <c r="AO90" s="254"/>
      <c r="AP90" s="254"/>
      <c r="AQ90" s="254"/>
      <c r="AR90" s="28"/>
      <c r="BF90" s="506" t="s">
        <v>154</v>
      </c>
      <c r="BG90" s="506"/>
      <c r="BV90" s="28"/>
      <c r="BZ90" s="516"/>
      <c r="CA90" s="516"/>
      <c r="CB90" s="516"/>
      <c r="CC90" s="516"/>
      <c r="CD90" s="516"/>
      <c r="CF90" s="28"/>
    </row>
    <row r="91" spans="6:87" ht="19.5" customHeight="1" thickBot="1" x14ac:dyDescent="0.3">
      <c r="H91" s="28"/>
      <c r="J91" s="43" t="s">
        <v>90</v>
      </c>
      <c r="T91" s="512"/>
      <c r="U91" s="512"/>
      <c r="W91"/>
      <c r="AC91" s="254"/>
      <c r="AD91" s="254"/>
      <c r="AE91" s="254"/>
      <c r="AJ91" s="254"/>
      <c r="AK91" s="254"/>
      <c r="AL91" s="254"/>
      <c r="AM91" s="254"/>
      <c r="AN91" s="254"/>
      <c r="AO91" s="254"/>
      <c r="AP91" s="254"/>
      <c r="AQ91" s="254"/>
      <c r="AR91" s="28"/>
      <c r="BG91" s="97" t="b">
        <v>0</v>
      </c>
      <c r="BP91" s="506" t="s">
        <v>282</v>
      </c>
      <c r="BQ91" s="506"/>
      <c r="BV91" s="28"/>
      <c r="BX91" s="29" t="s">
        <v>56</v>
      </c>
      <c r="BZ91" s="516"/>
      <c r="CA91" s="516"/>
      <c r="CB91" s="516"/>
      <c r="CC91" s="516"/>
      <c r="CD91" s="516"/>
      <c r="CF91" s="28"/>
      <c r="CI91" s="51" t="str">
        <f>IF(BT140=FALSE,"",BS139)</f>
        <v/>
      </c>
    </row>
    <row r="92" spans="6:87" ht="32.25" customHeight="1" thickBot="1" x14ac:dyDescent="0.3">
      <c r="H92" s="28"/>
      <c r="J92" s="439" t="s">
        <v>91</v>
      </c>
      <c r="K92" s="439"/>
      <c r="L92" s="439"/>
      <c r="M92" s="439"/>
      <c r="N92" s="439"/>
      <c r="O92" s="148"/>
      <c r="T92" s="512"/>
      <c r="U92" s="512"/>
      <c r="W92"/>
      <c r="AC92" s="254"/>
      <c r="AD92" s="254"/>
      <c r="AE92" s="254"/>
      <c r="AF92" s="66" t="s">
        <v>330</v>
      </c>
      <c r="AG92" s="1">
        <v>0</v>
      </c>
      <c r="AJ92" s="254"/>
      <c r="AK92" s="254"/>
      <c r="AL92" s="254"/>
      <c r="AM92" s="254"/>
      <c r="AN92" s="254"/>
      <c r="AO92" s="254"/>
      <c r="AP92" s="254"/>
      <c r="AQ92" s="254"/>
      <c r="AR92" s="28"/>
      <c r="BP92" s="63" t="b">
        <v>0</v>
      </c>
      <c r="BV92" s="28"/>
      <c r="BX92" s="55" t="str">
        <f>IF(J92=$BX$1,"",J92)</f>
        <v/>
      </c>
      <c r="BZ92" s="516"/>
      <c r="CA92" s="516"/>
      <c r="CB92" s="516"/>
      <c r="CC92" s="516"/>
      <c r="CD92" s="516"/>
      <c r="CF92" s="28"/>
    </row>
    <row r="93" spans="6:87" ht="15" customHeight="1" x14ac:dyDescent="0.25">
      <c r="H93" s="28"/>
      <c r="T93" s="512"/>
      <c r="U93" s="512"/>
      <c r="AC93" s="254"/>
      <c r="AD93" s="254"/>
      <c r="AE93" s="254"/>
      <c r="AF93" s="254"/>
      <c r="AG93" s="254"/>
      <c r="AH93" s="254"/>
      <c r="AI93" s="254"/>
      <c r="AJ93" s="254"/>
      <c r="AK93" s="254"/>
      <c r="AL93" s="254"/>
      <c r="AM93" s="254"/>
      <c r="AN93" s="254"/>
      <c r="AO93" s="254"/>
      <c r="AP93" s="254"/>
      <c r="AQ93" s="254"/>
      <c r="AR93" s="28"/>
      <c r="BV93" s="28"/>
      <c r="BZ93" s="516"/>
      <c r="CA93" s="516"/>
      <c r="CB93" s="516"/>
      <c r="CC93" s="516"/>
      <c r="CD93" s="516"/>
      <c r="CF93" s="28"/>
    </row>
    <row r="94" spans="6:87" ht="15" customHeight="1" x14ac:dyDescent="0.25">
      <c r="H94" s="28"/>
      <c r="X94" s="246"/>
      <c r="Y94" s="246"/>
      <c r="Z94" s="246"/>
      <c r="AA94" s="246"/>
      <c r="AB94" s="246"/>
      <c r="AC94" s="254"/>
      <c r="AD94" s="254"/>
      <c r="AE94" s="254"/>
      <c r="AF94" s="254"/>
      <c r="AG94" s="254"/>
      <c r="AH94" s="254"/>
      <c r="AI94" s="254"/>
      <c r="AJ94" s="254"/>
      <c r="AK94" s="254"/>
      <c r="AL94" s="254"/>
      <c r="AM94" s="254"/>
      <c r="AN94" s="254"/>
      <c r="AO94" s="254"/>
      <c r="AP94" s="254"/>
      <c r="AQ94" s="254"/>
      <c r="AR94" s="28"/>
      <c r="BV94" s="28"/>
      <c r="BZ94" s="247"/>
      <c r="CA94" s="247"/>
      <c r="CB94" s="247"/>
      <c r="CC94" s="247"/>
      <c r="CD94" s="247"/>
      <c r="CF94" s="28"/>
    </row>
    <row r="95" spans="6:87" s="28" customFormat="1" ht="8.25" customHeight="1" x14ac:dyDescent="0.25"/>
    <row r="96" spans="6:87" x14ac:dyDescent="0.25">
      <c r="H96" s="28"/>
      <c r="J96" s="413" t="s">
        <v>81</v>
      </c>
      <c r="K96" s="413"/>
      <c r="L96" s="413"/>
      <c r="AR96" s="28"/>
      <c r="BV96" s="28"/>
      <c r="CF96" s="28"/>
    </row>
    <row r="97" spans="3:86" ht="31.5" customHeight="1" x14ac:dyDescent="0.25">
      <c r="C97" s="455" t="s">
        <v>39</v>
      </c>
      <c r="D97" s="455"/>
      <c r="H97" s="28"/>
      <c r="J97" s="413"/>
      <c r="K97" s="413"/>
      <c r="L97" s="413"/>
      <c r="Q97" s="30"/>
      <c r="V97" s="441"/>
      <c r="W97" s="441"/>
      <c r="AR97" s="28"/>
      <c r="BV97" s="28"/>
      <c r="CF97" s="28"/>
    </row>
    <row r="98" spans="3:86" ht="21" customHeight="1" x14ac:dyDescent="0.25">
      <c r="C98" s="455"/>
      <c r="D98" s="455"/>
      <c r="H98" s="28"/>
      <c r="X98" s="249"/>
      <c r="Y98" s="249"/>
      <c r="Z98" s="249"/>
      <c r="AA98" s="249"/>
      <c r="AR98" s="28"/>
      <c r="BV98" s="28"/>
      <c r="CF98" s="28"/>
    </row>
    <row r="99" spans="3:86" ht="23.25" customHeight="1" x14ac:dyDescent="0.25">
      <c r="H99" s="28"/>
      <c r="V99" s="249"/>
      <c r="W99" s="249"/>
      <c r="X99" s="249"/>
      <c r="Y99" s="249"/>
      <c r="Z99" s="249"/>
      <c r="AA99" s="249"/>
      <c r="AR99" s="28"/>
      <c r="BV99" s="28"/>
      <c r="CF99" s="28"/>
    </row>
    <row r="100" spans="3:86" ht="35.25" customHeight="1" x14ac:dyDescent="0.25">
      <c r="H100" s="28"/>
      <c r="V100" s="249"/>
      <c r="W100" s="249"/>
      <c r="X100" s="249"/>
      <c r="Y100" s="249"/>
      <c r="Z100" s="249"/>
      <c r="AA100" s="249"/>
      <c r="AR100" s="28"/>
      <c r="BJ100" s="24">
        <v>4</v>
      </c>
      <c r="BK100" s="31" t="str">
        <f>VLOOKUP(BJ100,BJ102:BK107,2,FALSE)</f>
        <v>SEM ESCOLHA</v>
      </c>
      <c r="BV100" s="28"/>
      <c r="CF100" s="28"/>
    </row>
    <row r="101" spans="3:86" ht="23.25" customHeight="1" x14ac:dyDescent="0.25">
      <c r="H101" s="28"/>
      <c r="J101" s="37"/>
      <c r="L101" s="38"/>
      <c r="N101" s="52"/>
      <c r="O101" s="26"/>
      <c r="P101"/>
      <c r="Q101"/>
      <c r="R101"/>
      <c r="X101" s="26"/>
      <c r="AR101" s="28"/>
      <c r="BV101" s="28"/>
      <c r="CF101" s="28"/>
    </row>
    <row r="102" spans="3:86" ht="23.25" customHeight="1" x14ac:dyDescent="0.25">
      <c r="H102" s="28"/>
      <c r="J102" s="37"/>
      <c r="L102" s="38"/>
      <c r="N102" s="52"/>
      <c r="O102" s="26"/>
      <c r="P102"/>
      <c r="Q102"/>
      <c r="R102"/>
      <c r="X102" s="26"/>
      <c r="AR102" s="28"/>
      <c r="BJ102" s="48">
        <v>0</v>
      </c>
      <c r="BK102" s="49" t="s">
        <v>8</v>
      </c>
      <c r="BV102" s="28"/>
      <c r="CF102" s="28"/>
    </row>
    <row r="103" spans="3:86" ht="23.25" customHeight="1" x14ac:dyDescent="0.25">
      <c r="H103" s="28"/>
      <c r="J103" s="37"/>
      <c r="L103" s="38"/>
      <c r="N103" s="52"/>
      <c r="O103" s="26"/>
      <c r="P103"/>
      <c r="Q103"/>
      <c r="R103"/>
      <c r="X103" s="26"/>
      <c r="AR103" s="28"/>
      <c r="BJ103" s="34">
        <v>1</v>
      </c>
      <c r="BK103" s="35" t="s">
        <v>82</v>
      </c>
      <c r="BV103" s="28"/>
      <c r="CF103" s="28"/>
    </row>
    <row r="104" spans="3:86" ht="23.25" customHeight="1" x14ac:dyDescent="0.25">
      <c r="H104" s="28"/>
      <c r="J104" s="37"/>
      <c r="L104" s="38"/>
      <c r="N104" s="52"/>
      <c r="O104" s="26"/>
      <c r="P104"/>
      <c r="Q104"/>
      <c r="R104"/>
      <c r="X104" s="26"/>
      <c r="AR104" s="28"/>
      <c r="BJ104" s="34">
        <v>2</v>
      </c>
      <c r="BK104" s="35" t="s">
        <v>83</v>
      </c>
      <c r="BV104" s="28"/>
      <c r="CF104" s="28"/>
    </row>
    <row r="105" spans="3:86" ht="23.25" customHeight="1" x14ac:dyDescent="0.25">
      <c r="H105" s="28"/>
      <c r="J105" s="37"/>
      <c r="L105" s="38"/>
      <c r="N105" s="52"/>
      <c r="O105" s="26"/>
      <c r="P105"/>
      <c r="Q105"/>
      <c r="R105"/>
      <c r="X105" s="26"/>
      <c r="AR105" s="28"/>
      <c r="BJ105" s="34">
        <v>3</v>
      </c>
      <c r="BK105" s="35" t="s">
        <v>84</v>
      </c>
      <c r="BV105" s="28"/>
      <c r="CF105" s="28"/>
    </row>
    <row r="106" spans="3:86" ht="23.25" customHeight="1" x14ac:dyDescent="0.25">
      <c r="H106" s="28"/>
      <c r="J106" s="37"/>
      <c r="L106" s="38"/>
      <c r="N106" s="52"/>
      <c r="O106" s="26"/>
      <c r="P106"/>
      <c r="Q106"/>
      <c r="R106"/>
      <c r="X106" s="26"/>
      <c r="AR106" s="28"/>
      <c r="BJ106" s="34">
        <v>4</v>
      </c>
      <c r="BK106" s="40" t="s">
        <v>25</v>
      </c>
      <c r="BV106" s="28"/>
      <c r="CF106" s="28"/>
    </row>
    <row r="107" spans="3:86" ht="23.25" customHeight="1" x14ac:dyDescent="0.25">
      <c r="H107" s="28"/>
      <c r="J107" s="37"/>
      <c r="L107" s="38"/>
      <c r="N107" s="52"/>
      <c r="O107" s="26"/>
      <c r="P107"/>
      <c r="Q107"/>
      <c r="R107"/>
      <c r="X107" s="26"/>
      <c r="AR107" s="28"/>
      <c r="BJ107" s="39">
        <v>5</v>
      </c>
      <c r="BK107" s="40" t="s">
        <v>25</v>
      </c>
      <c r="BV107" s="28"/>
      <c r="CF107" s="28"/>
    </row>
    <row r="108" spans="3:86" ht="23.25" customHeight="1" x14ac:dyDescent="0.25">
      <c r="H108" s="28"/>
      <c r="J108" s="37"/>
      <c r="L108" s="38"/>
      <c r="N108" s="52"/>
      <c r="O108" s="26"/>
      <c r="P108"/>
      <c r="Q108"/>
      <c r="R108"/>
      <c r="X108" s="26"/>
      <c r="AR108" s="28"/>
      <c r="BV108" s="28"/>
      <c r="CF108" s="28"/>
    </row>
    <row r="109" spans="3:86" x14ac:dyDescent="0.25">
      <c r="H109" s="28"/>
      <c r="AR109" s="28"/>
      <c r="BV109" s="28"/>
      <c r="CF109" s="28"/>
    </row>
    <row r="110" spans="3:86" x14ac:dyDescent="0.25">
      <c r="H110" s="28"/>
      <c r="AR110" s="28"/>
      <c r="BK110"/>
      <c r="BV110" s="28"/>
      <c r="CF110" s="28"/>
    </row>
    <row r="111" spans="3:86" ht="19.5" customHeight="1" thickBot="1" x14ac:dyDescent="0.3">
      <c r="H111" s="28"/>
      <c r="J111" s="43" t="s">
        <v>90</v>
      </c>
      <c r="AR111" s="28"/>
      <c r="BV111" s="28"/>
      <c r="BX111" s="29" t="s">
        <v>56</v>
      </c>
      <c r="CF111" s="28"/>
      <c r="CH111" s="44" t="s">
        <v>132</v>
      </c>
    </row>
    <row r="112" spans="3:86" ht="32.25" customHeight="1" thickBot="1" x14ac:dyDescent="0.3">
      <c r="H112" s="28"/>
      <c r="J112" s="439" t="s">
        <v>91</v>
      </c>
      <c r="K112" s="439"/>
      <c r="L112" s="439"/>
      <c r="M112" s="439"/>
      <c r="N112" s="439"/>
      <c r="O112" s="148"/>
      <c r="AR112" s="28"/>
      <c r="BV112" s="28"/>
      <c r="BX112" s="25" t="str">
        <f>J112</f>
        <v>INSIRA AQUI SEU COMENTARIO</v>
      </c>
      <c r="CF112" s="28"/>
      <c r="CH112" s="36" t="str">
        <f>IF(BX112=$BX$1,"",BX112)</f>
        <v/>
      </c>
    </row>
    <row r="113" spans="3:86" x14ac:dyDescent="0.25">
      <c r="H113" s="28"/>
      <c r="AR113" s="28"/>
      <c r="BV113" s="28"/>
      <c r="CF113" s="28"/>
    </row>
    <row r="114" spans="3:86" s="28" customFormat="1" ht="8.25" customHeight="1" x14ac:dyDescent="0.25"/>
    <row r="115" spans="3:86" x14ac:dyDescent="0.25">
      <c r="H115" s="28"/>
      <c r="J115" s="413" t="s">
        <v>106</v>
      </c>
      <c r="K115" s="413"/>
      <c r="L115" s="413"/>
      <c r="AR115" s="28"/>
      <c r="BV115" s="28"/>
      <c r="CF115" s="28"/>
    </row>
    <row r="116" spans="3:86" ht="24.75" customHeight="1" x14ac:dyDescent="0.25">
      <c r="C116" s="455" t="s">
        <v>39</v>
      </c>
      <c r="D116" s="455"/>
      <c r="H116" s="28"/>
      <c r="J116" s="413"/>
      <c r="K116" s="413"/>
      <c r="L116" s="413"/>
      <c r="N116" s="507" t="s">
        <v>324</v>
      </c>
      <c r="Q116" s="30" t="s">
        <v>11</v>
      </c>
      <c r="V116" s="441" t="s">
        <v>16</v>
      </c>
      <c r="W116" s="441"/>
      <c r="X116" s="441"/>
      <c r="Y116" s="441"/>
      <c r="Z116" s="441"/>
      <c r="AA116" s="441"/>
      <c r="AB116" s="441"/>
      <c r="AR116" s="28"/>
      <c r="AX116" s="513" t="s">
        <v>171</v>
      </c>
      <c r="AY116" s="513"/>
      <c r="AZ116" s="513"/>
      <c r="BA116" s="513"/>
      <c r="BF116" s="24">
        <v>3</v>
      </c>
      <c r="BG116" s="31" t="str">
        <f>VLOOKUP(BF116,BF119:BG126,2,FALSE)</f>
        <v>SEM ESTABILIZADOR</v>
      </c>
      <c r="BJ116" s="23">
        <v>5</v>
      </c>
      <c r="BK116" s="31" t="str">
        <f>VLOOKUP(BJ116,$BJ$119:$BL$126,2,FALSE)</f>
        <v>SEM ESCOLHA</v>
      </c>
      <c r="BL116" s="32">
        <f>VLOOKUP(BJ116,$BJ$119:$BL$126,3,FALSE)</f>
        <v>0</v>
      </c>
      <c r="BO116" s="518" t="s">
        <v>152</v>
      </c>
      <c r="BP116" s="519"/>
      <c r="BV116" s="28"/>
      <c r="BX116" s="58" t="str">
        <f>IF(BF77=2,"SEM ESTABILIZADOR",IF(BF77=4,"SEM ESTABILIZADOR",""))</f>
        <v/>
      </c>
      <c r="CF116" s="28"/>
    </row>
    <row r="117" spans="3:86" x14ac:dyDescent="0.25">
      <c r="C117" s="455"/>
      <c r="D117" s="455"/>
      <c r="H117" s="28"/>
      <c r="N117" s="507"/>
      <c r="AR117" s="28"/>
      <c r="AX117" s="514" t="b">
        <v>0</v>
      </c>
      <c r="AY117" s="515"/>
      <c r="AZ117" s="515"/>
      <c r="BO117" s="519"/>
      <c r="BP117" s="519"/>
      <c r="BV117" s="28"/>
      <c r="CF117" s="28"/>
    </row>
    <row r="118" spans="3:86" ht="23.25" customHeight="1" x14ac:dyDescent="0.25">
      <c r="H118" s="28"/>
      <c r="N118" s="507"/>
      <c r="V118" s="521" t="s">
        <v>20</v>
      </c>
      <c r="W118" s="521"/>
      <c r="X118" s="521"/>
      <c r="Y118" s="521"/>
      <c r="Z118" s="521"/>
      <c r="AA118" s="521"/>
      <c r="AB118" s="521"/>
      <c r="AR118" s="28"/>
      <c r="BO118" s="425" t="b">
        <v>0</v>
      </c>
      <c r="BP118" s="426"/>
      <c r="BV118" s="28"/>
      <c r="BX118" s="51" t="str">
        <f>IF(BX116="",BK116,BX116)</f>
        <v>SEM ESCOLHA</v>
      </c>
      <c r="BZ118" s="51" t="str">
        <f>BG116</f>
        <v>SEM ESTABILIZADOR</v>
      </c>
      <c r="CF118" s="28"/>
    </row>
    <row r="119" spans="3:86" ht="35.25" customHeight="1" x14ac:dyDescent="0.25">
      <c r="H119" s="28"/>
      <c r="N119" s="507"/>
      <c r="T119" s="59" t="s">
        <v>22</v>
      </c>
      <c r="AR119" s="28"/>
      <c r="AX119" s="23">
        <v>3</v>
      </c>
      <c r="AY119" s="31" t="str">
        <f>VLOOKUP(AX119,AX122:AZ125,2,FALSE)</f>
        <v>SEM ESCOLHA</v>
      </c>
      <c r="AZ119" s="32" t="str">
        <f>VLOOKUP(AX119,AX122:AZ125,3,FALSE)</f>
        <v>VAZIO</v>
      </c>
      <c r="BF119" s="48">
        <v>0</v>
      </c>
      <c r="BG119" s="49" t="s">
        <v>8</v>
      </c>
      <c r="BJ119" s="48">
        <v>0</v>
      </c>
      <c r="BK119" s="49" t="s">
        <v>8</v>
      </c>
      <c r="BL119" s="50">
        <v>0</v>
      </c>
      <c r="BV119" s="28"/>
      <c r="BX119" s="51">
        <f>IF(BX116="",BL116,"")</f>
        <v>0</v>
      </c>
      <c r="CF119" s="28"/>
    </row>
    <row r="120" spans="3:86" ht="23.25" customHeight="1" x14ac:dyDescent="0.25">
      <c r="H120" s="28"/>
      <c r="J120" s="37"/>
      <c r="L120" s="38"/>
      <c r="N120" s="26"/>
      <c r="O120" s="26"/>
      <c r="T120" s="46" t="s">
        <v>17</v>
      </c>
      <c r="AR120" s="28"/>
      <c r="BF120" s="34">
        <v>1</v>
      </c>
      <c r="BG120" s="35" t="s">
        <v>13</v>
      </c>
      <c r="BJ120" s="34">
        <v>1</v>
      </c>
      <c r="BK120" s="35" t="s">
        <v>337</v>
      </c>
      <c r="BL120" s="32" t="s">
        <v>17</v>
      </c>
      <c r="BO120" s="62">
        <v>3</v>
      </c>
      <c r="BP120" s="31" t="str">
        <f>VLOOKUP(BO120,$BO$121:$BP$124,2,FALSE)</f>
        <v>SEM ESCOLHA</v>
      </c>
      <c r="BS120" s="520" t="s">
        <v>325</v>
      </c>
      <c r="BT120" s="520"/>
      <c r="BV120" s="28"/>
      <c r="CB120" s="431" t="str">
        <f>IF(BF77=2,BS120,IF(BF77=4,BS120,""))</f>
        <v/>
      </c>
      <c r="CC120" s="431"/>
      <c r="CD120" s="431"/>
      <c r="CF120" s="28"/>
    </row>
    <row r="121" spans="3:86" ht="23.25" customHeight="1" x14ac:dyDescent="0.25">
      <c r="F121" s="512" t="str">
        <f>IF(BX116="","","ESTA OPÇÃO NÃO É COMPATIVEL COM O ENCOSTO BIOFORMA. SE A PRESCRIÇÃO NECESSITA DE ESTABILIZADOR, ALTERE O TIPO DE ENCOSTO NAS OPÇÕES ACIMA")</f>
        <v/>
      </c>
      <c r="H121" s="28"/>
      <c r="J121" s="37"/>
      <c r="L121" s="38"/>
      <c r="N121" s="445" t="str">
        <f>CB120</f>
        <v/>
      </c>
      <c r="O121" s="445"/>
      <c r="T121" s="46" t="s">
        <v>18</v>
      </c>
      <c r="AR121" s="28"/>
      <c r="BF121" s="34">
        <v>2</v>
      </c>
      <c r="BG121" s="35" t="s">
        <v>101</v>
      </c>
      <c r="BJ121" s="34">
        <v>2</v>
      </c>
      <c r="BK121" s="35" t="s">
        <v>307</v>
      </c>
      <c r="BL121" s="32" t="s">
        <v>18</v>
      </c>
      <c r="BO121" s="48">
        <v>0</v>
      </c>
      <c r="BP121" s="49" t="s">
        <v>8</v>
      </c>
      <c r="BS121" s="520"/>
      <c r="BT121" s="520"/>
      <c r="BV121" s="28"/>
      <c r="BX121" s="51" t="str">
        <f>IF(BX116="SEM ESTABILIZADOR","",IF(BO118=FALSE,"",IF(BO120=3,"",CONCATENATE(BO116,BP120))))</f>
        <v/>
      </c>
      <c r="CB121" s="431"/>
      <c r="CC121" s="431"/>
      <c r="CD121" s="431"/>
      <c r="CF121" s="28"/>
      <c r="CH121" s="25" t="str">
        <f>IF(BO118=TRUE,CONCATENATE("INCLUIR ",BX121," ",CA121),"")</f>
        <v/>
      </c>
    </row>
    <row r="122" spans="3:86" ht="23.25" customHeight="1" x14ac:dyDescent="0.25">
      <c r="F122" s="512"/>
      <c r="H122" s="28"/>
      <c r="J122" s="37"/>
      <c r="L122" s="38"/>
      <c r="N122" s="445"/>
      <c r="O122" s="445"/>
      <c r="T122" s="46" t="s">
        <v>19</v>
      </c>
      <c r="AR122" s="28"/>
      <c r="AX122" s="48">
        <v>0</v>
      </c>
      <c r="AY122" s="49" t="s">
        <v>8</v>
      </c>
      <c r="AZ122" s="50">
        <v>0</v>
      </c>
      <c r="BF122" s="39">
        <v>3</v>
      </c>
      <c r="BG122" s="40" t="s">
        <v>326</v>
      </c>
      <c r="BJ122" s="34">
        <v>3</v>
      </c>
      <c r="BK122" s="35" t="s">
        <v>308</v>
      </c>
      <c r="BL122" s="32" t="s">
        <v>19</v>
      </c>
      <c r="BO122" s="34">
        <v>1</v>
      </c>
      <c r="BP122" s="35" t="s">
        <v>23</v>
      </c>
      <c r="BS122" s="520"/>
      <c r="BT122" s="520"/>
      <c r="BV122" s="28"/>
      <c r="CB122" s="431"/>
      <c r="CC122" s="431"/>
      <c r="CD122" s="431"/>
      <c r="CF122" s="28"/>
    </row>
    <row r="123" spans="3:86" ht="23.25" customHeight="1" x14ac:dyDescent="0.25">
      <c r="F123" s="512"/>
      <c r="H123" s="28"/>
      <c r="J123" s="37"/>
      <c r="L123" s="38"/>
      <c r="N123" s="445"/>
      <c r="O123" s="445"/>
      <c r="T123" s="46" t="s">
        <v>21</v>
      </c>
      <c r="AR123" s="28"/>
      <c r="AX123" s="34">
        <v>1</v>
      </c>
      <c r="AY123" s="35" t="s">
        <v>31</v>
      </c>
      <c r="AZ123" s="32" t="s">
        <v>169</v>
      </c>
      <c r="BJ123" s="34">
        <v>4</v>
      </c>
      <c r="BK123" s="35" t="s">
        <v>309</v>
      </c>
      <c r="BL123" s="32" t="s">
        <v>21</v>
      </c>
      <c r="BO123" s="34">
        <v>2</v>
      </c>
      <c r="BP123" s="35" t="s">
        <v>24</v>
      </c>
      <c r="BS123" s="520"/>
      <c r="BT123" s="520"/>
      <c r="BV123" s="28"/>
      <c r="CF123" s="28"/>
    </row>
    <row r="124" spans="3:86" ht="23.25" customHeight="1" x14ac:dyDescent="0.25">
      <c r="F124" s="512"/>
      <c r="H124" s="28"/>
      <c r="J124" s="37"/>
      <c r="L124" s="38"/>
      <c r="N124" s="445"/>
      <c r="O124" s="445"/>
      <c r="P124" s="250"/>
      <c r="Q124" s="250"/>
      <c r="AR124" s="28"/>
      <c r="AX124" s="34">
        <v>2</v>
      </c>
      <c r="AY124" s="35" t="s">
        <v>30</v>
      </c>
      <c r="AZ124" s="32" t="s">
        <v>170</v>
      </c>
      <c r="BJ124" s="39">
        <v>5</v>
      </c>
      <c r="BK124" s="40" t="s">
        <v>25</v>
      </c>
      <c r="BL124" s="60">
        <v>0</v>
      </c>
      <c r="BO124" s="39">
        <v>3</v>
      </c>
      <c r="BP124" s="40" t="s">
        <v>25</v>
      </c>
      <c r="BV124" s="28"/>
      <c r="BX124" s="51" t="str">
        <f>IF(AX117=TRUE,CONCATENATE(AX116," - ",AY119," - ",AZ119),"")</f>
        <v/>
      </c>
      <c r="CF124" s="28"/>
    </row>
    <row r="125" spans="3:86" ht="23.25" customHeight="1" x14ac:dyDescent="0.25">
      <c r="F125" s="512"/>
      <c r="H125" s="28"/>
      <c r="J125" s="37"/>
      <c r="L125" s="38"/>
      <c r="N125" s="250"/>
      <c r="O125" s="250"/>
      <c r="P125" s="250"/>
      <c r="Q125" s="250"/>
      <c r="AR125" s="28"/>
      <c r="AX125" s="85">
        <v>3</v>
      </c>
      <c r="AY125" s="40" t="s">
        <v>25</v>
      </c>
      <c r="AZ125" s="60" t="s">
        <v>8</v>
      </c>
      <c r="BV125" s="28"/>
      <c r="CF125" s="28"/>
    </row>
    <row r="126" spans="3:86" ht="23.25" customHeight="1" x14ac:dyDescent="0.25">
      <c r="H126" s="28"/>
      <c r="J126" s="37"/>
      <c r="L126" s="38"/>
      <c r="N126" s="250"/>
      <c r="O126" s="250"/>
      <c r="P126" s="250"/>
      <c r="Q126" s="250"/>
      <c r="AR126" s="28"/>
      <c r="BV126" s="28"/>
      <c r="CF126" s="28"/>
    </row>
    <row r="127" spans="3:86" ht="19.5" customHeight="1" thickBot="1" x14ac:dyDescent="0.3">
      <c r="H127" s="28"/>
      <c r="J127" s="37"/>
      <c r="L127" s="38"/>
      <c r="N127" s="43" t="s">
        <v>90</v>
      </c>
      <c r="O127" s="43"/>
      <c r="AR127" s="28"/>
      <c r="BV127" s="28"/>
      <c r="BX127" s="29" t="s">
        <v>56</v>
      </c>
      <c r="CF127" s="28"/>
      <c r="CH127" s="44" t="s">
        <v>132</v>
      </c>
    </row>
    <row r="128" spans="3:86" ht="32.25" customHeight="1" thickBot="1" x14ac:dyDescent="0.3">
      <c r="H128" s="28"/>
      <c r="N128" s="505" t="s">
        <v>91</v>
      </c>
      <c r="O128" s="505"/>
      <c r="P128" s="505"/>
      <c r="Q128" s="505"/>
      <c r="R128" s="505"/>
      <c r="S128" s="505"/>
      <c r="T128" s="505"/>
      <c r="U128" s="505"/>
      <c r="AR128" s="28"/>
      <c r="BV128" s="28"/>
      <c r="BX128" s="25" t="str">
        <f>N128</f>
        <v>INSIRA AQUI SEU COMENTARIO</v>
      </c>
      <c r="CF128" s="28"/>
      <c r="CH128" s="36" t="str">
        <f>IF(BX128=$BX$1,"",BX128)</f>
        <v/>
      </c>
    </row>
    <row r="129" spans="3:86" x14ac:dyDescent="0.25">
      <c r="H129" s="28"/>
      <c r="AR129" s="28"/>
      <c r="BV129" s="28"/>
      <c r="CF129" s="28"/>
    </row>
    <row r="130" spans="3:86" s="28" customFormat="1" ht="8.25" customHeight="1" x14ac:dyDescent="0.25"/>
    <row r="131" spans="3:86" x14ac:dyDescent="0.25">
      <c r="H131" s="28"/>
      <c r="J131" s="413" t="s">
        <v>107</v>
      </c>
      <c r="K131" s="413"/>
      <c r="L131" s="413"/>
      <c r="AR131" s="28"/>
      <c r="BV131" s="28"/>
      <c r="CF131" s="28"/>
    </row>
    <row r="132" spans="3:86" ht="24.75" customHeight="1" x14ac:dyDescent="0.25">
      <c r="C132" s="455" t="s">
        <v>39</v>
      </c>
      <c r="D132" s="455"/>
      <c r="H132" s="28"/>
      <c r="J132" s="413"/>
      <c r="K132" s="413"/>
      <c r="L132" s="413"/>
      <c r="N132" s="507" t="s">
        <v>324</v>
      </c>
      <c r="Q132" s="30" t="s">
        <v>11</v>
      </c>
      <c r="V132"/>
      <c r="W132"/>
      <c r="X132"/>
      <c r="Y132"/>
      <c r="Z132"/>
      <c r="AA132"/>
      <c r="AB132"/>
      <c r="AR132" s="28"/>
      <c r="BF132" s="24">
        <v>3</v>
      </c>
      <c r="BG132" s="31" t="str">
        <f>VLOOKUP(BF132,BF135:BG142,2,FALSE)</f>
        <v>SEM ESTABILIZADOR</v>
      </c>
      <c r="BJ132" s="23">
        <v>4</v>
      </c>
      <c r="BK132" s="31" t="str">
        <f>VLOOKUP(BJ132,BJ135:BL142,2,FALSE)</f>
        <v>SEM ESCOLHA</v>
      </c>
      <c r="BL132" s="32">
        <f>VLOOKUP(BJ132,BJ135:BL139,3,FALSE)</f>
        <v>0</v>
      </c>
      <c r="BV132" s="28"/>
      <c r="BX132" s="58" t="str">
        <f>IF(BF77=2,"SEM ESTABILIZADOR",IF(BF77=4,"SEM ESTABILIZADOR",""))</f>
        <v/>
      </c>
      <c r="CF132" s="28"/>
    </row>
    <row r="133" spans="3:86" ht="15" customHeight="1" x14ac:dyDescent="0.25">
      <c r="C133" s="455"/>
      <c r="D133" s="455"/>
      <c r="H133" s="28"/>
      <c r="N133" s="507"/>
      <c r="AR133" s="28"/>
      <c r="BV133" s="28"/>
      <c r="CF133" s="28"/>
    </row>
    <row r="134" spans="3:86" ht="23.25" customHeight="1" x14ac:dyDescent="0.25">
      <c r="H134" s="28"/>
      <c r="N134" s="507"/>
      <c r="AR134" s="28"/>
      <c r="BV134" s="28"/>
      <c r="BZ134" s="51" t="str">
        <f>BG132</f>
        <v>SEM ESTABILIZADOR</v>
      </c>
      <c r="CF134" s="28"/>
    </row>
    <row r="135" spans="3:86" ht="35.25" customHeight="1" x14ac:dyDescent="0.25">
      <c r="H135" s="28"/>
      <c r="N135" s="507"/>
      <c r="T135" s="59" t="s">
        <v>22</v>
      </c>
      <c r="V135" s="483"/>
      <c r="W135" s="483"/>
      <c r="X135" s="483"/>
      <c r="Y135" s="483"/>
      <c r="AR135" s="28"/>
      <c r="BF135" s="48">
        <v>0</v>
      </c>
      <c r="BG135" s="49" t="s">
        <v>8</v>
      </c>
      <c r="BJ135" s="48">
        <v>0</v>
      </c>
      <c r="BK135" s="49" t="s">
        <v>8</v>
      </c>
      <c r="BL135" s="50">
        <v>0</v>
      </c>
      <c r="BV135" s="28"/>
      <c r="BX135" s="51" t="str">
        <f>IF(BX132="",BK132,BX132)</f>
        <v>SEM ESCOLHA</v>
      </c>
      <c r="CF135" s="28"/>
    </row>
    <row r="136" spans="3:86" ht="23.25" customHeight="1" x14ac:dyDescent="0.25">
      <c r="F136" s="512" t="str">
        <f>IF(BX132="","","ESTA OPÇÃO NÃO É COMPATIVEL COM O ENCOSTO BIOFORMA. SE A PRESCRIÇÃO NECESSITA DE ESTABILIZADOR, ALTERE O TIPO DE ENCOSTO NAS OPÇÕES ACIMA")</f>
        <v/>
      </c>
      <c r="H136" s="28"/>
      <c r="J136" s="37"/>
      <c r="L136" s="38"/>
      <c r="N136" s="26"/>
      <c r="O136" s="26"/>
      <c r="AR136" s="28"/>
      <c r="BF136" s="34">
        <v>1</v>
      </c>
      <c r="BG136" s="35" t="s">
        <v>13</v>
      </c>
      <c r="BJ136" s="34">
        <v>1</v>
      </c>
      <c r="BK136" s="35" t="s">
        <v>307</v>
      </c>
      <c r="BL136" s="32" t="s">
        <v>40</v>
      </c>
      <c r="BV136" s="28"/>
      <c r="BX136" s="51">
        <f>IF(BX132="",BL132,"")</f>
        <v>0</v>
      </c>
      <c r="CF136" s="28"/>
    </row>
    <row r="137" spans="3:86" ht="23.25" customHeight="1" x14ac:dyDescent="0.25">
      <c r="F137" s="512"/>
      <c r="H137" s="28"/>
      <c r="J137" s="37"/>
      <c r="L137" s="38"/>
      <c r="N137" s="445" t="str">
        <f>N121</f>
        <v/>
      </c>
      <c r="O137" s="445"/>
      <c r="T137" s="46" t="s">
        <v>40</v>
      </c>
      <c r="AR137" s="28"/>
      <c r="BF137" s="34">
        <v>2</v>
      </c>
      <c r="BG137" s="35" t="s">
        <v>101</v>
      </c>
      <c r="BJ137" s="34">
        <v>2</v>
      </c>
      <c r="BK137" s="35" t="s">
        <v>308</v>
      </c>
      <c r="BL137" s="32" t="s">
        <v>237</v>
      </c>
      <c r="BV137" s="28"/>
      <c r="CF137" s="28"/>
    </row>
    <row r="138" spans="3:86" ht="23.25" customHeight="1" x14ac:dyDescent="0.25">
      <c r="F138" s="512"/>
      <c r="H138" s="28"/>
      <c r="J138" s="37"/>
      <c r="L138" s="38"/>
      <c r="N138" s="445"/>
      <c r="O138" s="445"/>
      <c r="T138" s="134" t="s">
        <v>237</v>
      </c>
      <c r="AR138" s="28"/>
      <c r="BF138" s="39">
        <v>3</v>
      </c>
      <c r="BG138" s="40" t="s">
        <v>326</v>
      </c>
      <c r="BJ138" s="34">
        <v>3</v>
      </c>
      <c r="BK138" s="35" t="s">
        <v>309</v>
      </c>
      <c r="BL138" s="32" t="s">
        <v>41</v>
      </c>
      <c r="BV138" s="28"/>
      <c r="CF138" s="28"/>
    </row>
    <row r="139" spans="3:86" ht="23.25" customHeight="1" x14ac:dyDescent="0.25">
      <c r="F139" s="512"/>
      <c r="H139" s="28"/>
      <c r="J139" s="37"/>
      <c r="L139" s="38"/>
      <c r="N139" s="445"/>
      <c r="O139" s="445"/>
      <c r="T139" s="46" t="s">
        <v>41</v>
      </c>
      <c r="AR139" s="28"/>
      <c r="BJ139" s="39">
        <v>4</v>
      </c>
      <c r="BK139" s="40" t="s">
        <v>25</v>
      </c>
      <c r="BL139" s="60">
        <v>0</v>
      </c>
      <c r="BO139" s="506" t="s">
        <v>133</v>
      </c>
      <c r="BP139" s="506"/>
      <c r="BQ139" s="45"/>
      <c r="BR139" s="45"/>
      <c r="BS139" s="506" t="s">
        <v>134</v>
      </c>
      <c r="BT139" s="506"/>
      <c r="BV139" s="28"/>
      <c r="CF139" s="28"/>
    </row>
    <row r="140" spans="3:86" ht="23.25" customHeight="1" x14ac:dyDescent="0.25">
      <c r="F140" s="512"/>
      <c r="H140" s="28"/>
      <c r="J140" s="37"/>
      <c r="L140" s="38"/>
      <c r="N140" s="445"/>
      <c r="O140" s="445"/>
      <c r="AR140" s="28"/>
      <c r="BP140" s="91" t="b">
        <v>0</v>
      </c>
      <c r="BT140" s="91" t="b">
        <v>0</v>
      </c>
      <c r="BV140" s="28"/>
      <c r="CF140" s="28"/>
    </row>
    <row r="141" spans="3:86" ht="23.25" customHeight="1" x14ac:dyDescent="0.25">
      <c r="H141" s="28"/>
      <c r="J141" s="37"/>
      <c r="L141" s="38"/>
      <c r="N141" s="26"/>
      <c r="O141" s="26"/>
      <c r="AR141" s="28"/>
      <c r="BV141" s="28"/>
      <c r="CF141" s="28"/>
    </row>
    <row r="142" spans="3:86" ht="23.25" customHeight="1" x14ac:dyDescent="0.25">
      <c r="H142" s="28"/>
      <c r="J142" s="37"/>
      <c r="L142" s="38"/>
      <c r="N142" s="26"/>
      <c r="O142" s="26"/>
      <c r="AR142" s="28"/>
      <c r="BV142" s="28"/>
      <c r="CF142" s="28"/>
    </row>
    <row r="143" spans="3:86" ht="19.5" customHeight="1" thickBot="1" x14ac:dyDescent="0.3">
      <c r="H143" s="28"/>
      <c r="J143" s="37"/>
      <c r="L143" s="38"/>
      <c r="N143" s="43" t="s">
        <v>90</v>
      </c>
      <c r="O143" s="43"/>
      <c r="X143" s="25" t="s">
        <v>147</v>
      </c>
      <c r="AR143" s="28"/>
      <c r="BV143" s="28"/>
      <c r="BX143" s="29" t="s">
        <v>56</v>
      </c>
      <c r="CF143" s="28"/>
      <c r="CH143" s="44" t="s">
        <v>132</v>
      </c>
    </row>
    <row r="144" spans="3:86" ht="32.25" customHeight="1" thickBot="1" x14ac:dyDescent="0.3">
      <c r="H144" s="28"/>
      <c r="N144" s="505" t="s">
        <v>91</v>
      </c>
      <c r="O144" s="505"/>
      <c r="P144" s="505"/>
      <c r="Q144" s="505"/>
      <c r="R144" s="505"/>
      <c r="S144" s="505"/>
      <c r="T144" s="505"/>
      <c r="U144" s="505"/>
      <c r="AR144" s="28"/>
      <c r="BV144" s="28"/>
      <c r="BX144" s="25" t="str">
        <f>N144</f>
        <v>INSIRA AQUI SEU COMENTARIO</v>
      </c>
      <c r="CF144" s="28"/>
      <c r="CH144" s="36" t="str">
        <f>IF(BX144=$BX$1,"",BX144)</f>
        <v/>
      </c>
    </row>
    <row r="145" spans="3:84" x14ac:dyDescent="0.25">
      <c r="H145" s="28"/>
      <c r="AR145" s="28"/>
      <c r="BV145" s="28"/>
      <c r="CF145" s="28"/>
    </row>
    <row r="146" spans="3:84" s="28" customFormat="1" ht="8.25" customHeight="1" thickBot="1" x14ac:dyDescent="0.3"/>
    <row r="147" spans="3:84" ht="15" customHeight="1" x14ac:dyDescent="0.25">
      <c r="H147" s="28"/>
      <c r="J147" s="413" t="s">
        <v>32</v>
      </c>
      <c r="K147" s="413"/>
      <c r="L147" s="413"/>
      <c r="M147" s="459" t="s">
        <v>312</v>
      </c>
      <c r="N147" s="460"/>
      <c r="O147" s="460"/>
      <c r="P147" s="463" t="str">
        <f>'MONTE AQUI SUA CADEIRA DE RODAS'!$Q$39</f>
        <v xml:space="preserve"> SEM ESCOLHA     -     TAMANHO - 0</v>
      </c>
      <c r="Q147" s="463"/>
      <c r="R147" s="464"/>
      <c r="AR147" s="28"/>
      <c r="AZ147"/>
      <c r="BA147"/>
      <c r="BB147"/>
      <c r="BC147"/>
      <c r="BD147"/>
      <c r="BE147"/>
      <c r="BF147"/>
      <c r="BO147" s="28"/>
      <c r="BX147" s="28"/>
    </row>
    <row r="148" spans="3:84" ht="24.75" customHeight="1" thickBot="1" x14ac:dyDescent="0.3">
      <c r="C148" s="455" t="s">
        <v>39</v>
      </c>
      <c r="D148" s="455"/>
      <c r="H148" s="28"/>
      <c r="J148" s="413"/>
      <c r="K148" s="413"/>
      <c r="L148" s="413"/>
      <c r="M148" s="461"/>
      <c r="N148" s="462"/>
      <c r="O148" s="462"/>
      <c r="P148" s="465"/>
      <c r="Q148" s="465"/>
      <c r="R148" s="466"/>
      <c r="X148" s="495" t="s">
        <v>103</v>
      </c>
      <c r="Y148" s="495"/>
      <c r="Z148" s="495"/>
      <c r="AA148" s="495"/>
      <c r="AB148" s="495"/>
      <c r="AC148" s="495"/>
      <c r="AR148" s="28"/>
      <c r="AV148" s="24">
        <v>6</v>
      </c>
      <c r="AW148" s="31" t="str">
        <f>VLOOKUP(AV148,AV151:AW157,2,FALSE)</f>
        <v>SEM ESCOLHA</v>
      </c>
      <c r="AZ148"/>
      <c r="BA148"/>
      <c r="BB148"/>
      <c r="BE148" s="501" t="s">
        <v>231</v>
      </c>
      <c r="BF148" s="502"/>
      <c r="BH148" s="24">
        <v>3</v>
      </c>
      <c r="BI148" s="31" t="str">
        <f>VLOOKUP(BH148,BH151:BI154,2,FALSE)</f>
        <v>SEM ESCOLHA</v>
      </c>
      <c r="BJ148" s="31" t="str">
        <f>VLOOKUP(BH148,BH151:BJ154,3,FALSE)</f>
        <v>SEM ESCOLHA</v>
      </c>
      <c r="BO148" s="28"/>
      <c r="BS148"/>
      <c r="BT148"/>
      <c r="BX148" s="28"/>
    </row>
    <row r="149" spans="3:84" ht="15" customHeight="1" x14ac:dyDescent="0.25">
      <c r="C149" s="455"/>
      <c r="D149" s="455"/>
      <c r="H149" s="28"/>
      <c r="X149" s="495"/>
      <c r="Y149" s="495"/>
      <c r="Z149" s="495"/>
      <c r="AA149" s="495"/>
      <c r="AB149" s="495"/>
      <c r="AC149" s="495"/>
      <c r="AR149" s="28"/>
      <c r="AV149" s="442" t="s">
        <v>36</v>
      </c>
      <c r="AW149" s="442"/>
      <c r="AZ149"/>
      <c r="BA149"/>
      <c r="BB149"/>
      <c r="BE149" s="425" t="b">
        <v>0</v>
      </c>
      <c r="BF149" s="426"/>
      <c r="BH149" s="503" t="s">
        <v>37</v>
      </c>
      <c r="BI149" s="503"/>
      <c r="BO149" s="28"/>
      <c r="BS149"/>
      <c r="BT149"/>
      <c r="BX149" s="28"/>
    </row>
    <row r="150" spans="3:84" ht="23.25" customHeight="1" x14ac:dyDescent="0.25">
      <c r="H150" s="28"/>
      <c r="X150" s="487" t="s">
        <v>188</v>
      </c>
      <c r="Y150" s="488"/>
      <c r="Z150" s="488"/>
      <c r="AA150" s="488"/>
      <c r="AB150" s="488"/>
      <c r="AC150" s="489"/>
      <c r="AR150" s="28"/>
      <c r="AV150" s="443"/>
      <c r="AW150" s="443"/>
      <c r="AZ150"/>
      <c r="BA150"/>
      <c r="BB150"/>
      <c r="BE150" s="23">
        <v>4</v>
      </c>
      <c r="BF150" s="31" t="str">
        <f>VLOOKUP(BE150,BE153:BF157,2,FALSE)</f>
        <v>SEM ESCOLHA</v>
      </c>
      <c r="BH150" s="504"/>
      <c r="BI150" s="504"/>
      <c r="BO150" s="28"/>
      <c r="BS150"/>
      <c r="BT150"/>
      <c r="BX150" s="28"/>
      <c r="BZ150" s="130" t="str">
        <f>AW148</f>
        <v>SEM ESCOLHA</v>
      </c>
    </row>
    <row r="151" spans="3:84" ht="35.25" customHeight="1" x14ac:dyDescent="0.25">
      <c r="H151" s="28"/>
      <c r="X151" s="490"/>
      <c r="Y151" s="491"/>
      <c r="Z151" s="491"/>
      <c r="AA151" s="491"/>
      <c r="AB151" s="491"/>
      <c r="AC151" s="492"/>
      <c r="AR151" s="28"/>
      <c r="AV151" s="48">
        <v>0</v>
      </c>
      <c r="AW151" s="49" t="s">
        <v>8</v>
      </c>
      <c r="AZ151"/>
      <c r="BA151"/>
      <c r="BB151"/>
      <c r="BE151" s="499" t="s">
        <v>230</v>
      </c>
      <c r="BF151" s="500"/>
      <c r="BH151" s="48">
        <v>0</v>
      </c>
      <c r="BI151" s="49" t="s">
        <v>8</v>
      </c>
      <c r="BJ151" s="49" t="s">
        <v>8</v>
      </c>
      <c r="BO151" s="28"/>
      <c r="BS151"/>
      <c r="BT151"/>
      <c r="BX151" s="28"/>
    </row>
    <row r="152" spans="3:84" ht="23.25" customHeight="1" x14ac:dyDescent="0.25">
      <c r="H152" s="28"/>
      <c r="J152" s="37"/>
      <c r="L152" s="38"/>
      <c r="N152" s="52"/>
      <c r="P152" s="69"/>
      <c r="Q152" s="69"/>
      <c r="R152" s="69"/>
      <c r="T152" s="65"/>
      <c r="U152" s="65"/>
      <c r="V152" s="65"/>
      <c r="W152"/>
      <c r="X152" s="496" t="s">
        <v>117</v>
      </c>
      <c r="Y152" s="496"/>
      <c r="Z152" s="496"/>
      <c r="AA152" s="496"/>
      <c r="AB152" s="493" t="s">
        <v>118</v>
      </c>
      <c r="AC152" s="494"/>
      <c r="AR152" s="28"/>
      <c r="AV152" s="34">
        <v>1</v>
      </c>
      <c r="AW152" s="35" t="s">
        <v>13</v>
      </c>
      <c r="AZ152"/>
      <c r="BA152"/>
      <c r="BB152"/>
      <c r="BC152"/>
      <c r="BD152"/>
      <c r="BE152"/>
      <c r="BF152"/>
      <c r="BH152" s="34">
        <v>1</v>
      </c>
      <c r="BI152" s="35" t="s">
        <v>117</v>
      </c>
      <c r="BJ152" s="35" t="s">
        <v>234</v>
      </c>
      <c r="BO152" s="28"/>
      <c r="BS152"/>
      <c r="BT152"/>
      <c r="BX152" s="28"/>
    </row>
    <row r="153" spans="3:84" ht="23.25" customHeight="1" x14ac:dyDescent="0.25">
      <c r="H153" s="28"/>
      <c r="J153" s="37"/>
      <c r="L153" s="38"/>
      <c r="N153" s="52"/>
      <c r="P153" s="69"/>
      <c r="Q153" s="69"/>
      <c r="R153" s="69"/>
      <c r="T153" s="65"/>
      <c r="U153" s="65"/>
      <c r="V153" s="65"/>
      <c r="W153"/>
      <c r="AR153" s="28"/>
      <c r="AV153" s="34">
        <v>2</v>
      </c>
      <c r="AW153" s="35" t="s">
        <v>114</v>
      </c>
      <c r="AZ153"/>
      <c r="BA153"/>
      <c r="BB153"/>
      <c r="BC153"/>
      <c r="BD153"/>
      <c r="BE153" s="48">
        <v>0</v>
      </c>
      <c r="BF153" s="49" t="s">
        <v>8</v>
      </c>
      <c r="BH153" s="34">
        <v>2</v>
      </c>
      <c r="BI153" s="35" t="s">
        <v>118</v>
      </c>
      <c r="BJ153" s="35" t="s">
        <v>235</v>
      </c>
      <c r="BO153" s="28"/>
      <c r="BS153"/>
      <c r="BT153"/>
      <c r="BX153" s="28"/>
      <c r="BZ153" s="51" t="str">
        <f>IF(AV148=5,BT157,"")</f>
        <v/>
      </c>
      <c r="CA153" s="51" t="str">
        <f>IF(AV148=5,BJ148,"")</f>
        <v/>
      </c>
    </row>
    <row r="154" spans="3:84" ht="23.25" customHeight="1" x14ac:dyDescent="0.25">
      <c r="H154" s="28"/>
      <c r="J154" s="37"/>
      <c r="L154" s="38"/>
      <c r="N154" s="52"/>
      <c r="P154" s="69"/>
      <c r="Q154" s="69"/>
      <c r="R154" s="69"/>
      <c r="T154" s="65"/>
      <c r="U154" s="65"/>
      <c r="V154" s="65"/>
      <c r="W154"/>
      <c r="AR154" s="28"/>
      <c r="AV154" s="34">
        <v>3</v>
      </c>
      <c r="AW154" s="35" t="s">
        <v>115</v>
      </c>
      <c r="AZ154"/>
      <c r="BA154"/>
      <c r="BB154"/>
      <c r="BC154"/>
      <c r="BD154"/>
      <c r="BE154" s="34">
        <v>1</v>
      </c>
      <c r="BF154" s="35" t="s">
        <v>190</v>
      </c>
      <c r="BH154" s="39">
        <v>3</v>
      </c>
      <c r="BI154" s="40" t="s">
        <v>25</v>
      </c>
      <c r="BJ154" s="40" t="s">
        <v>25</v>
      </c>
      <c r="BO154" s="28"/>
      <c r="BS154"/>
      <c r="BT154"/>
      <c r="BX154" s="28"/>
    </row>
    <row r="155" spans="3:84" ht="23.25" customHeight="1" x14ac:dyDescent="0.25">
      <c r="H155" s="28"/>
      <c r="J155" s="37"/>
      <c r="L155" s="38"/>
      <c r="N155" s="52"/>
      <c r="P155" s="69"/>
      <c r="Q155" s="69"/>
      <c r="R155" s="69"/>
      <c r="T155" s="65"/>
      <c r="U155" s="65"/>
      <c r="V155" s="65"/>
      <c r="W155"/>
      <c r="AR155" s="28"/>
      <c r="AV155" s="34">
        <v>4</v>
      </c>
      <c r="AW155" s="35" t="s">
        <v>87</v>
      </c>
      <c r="AZ155"/>
      <c r="BA155"/>
      <c r="BB155"/>
      <c r="BC155"/>
      <c r="BD155"/>
      <c r="BE155" s="34">
        <v>2</v>
      </c>
      <c r="BF155" s="35" t="s">
        <v>189</v>
      </c>
      <c r="BO155" s="28"/>
      <c r="BX155" s="28"/>
      <c r="BZ155" s="51" t="str">
        <f>IF('MONTE AQUI SUA CADEIRA DE RODAS'!BE177=FALSE,"",CONCATENATE('MONTE AQUI SUA CADEIRA DE RODAS'!BE176,"  -  ",'MONTE AQUI SUA CADEIRA DE RODAS'!BF178," (TORNOZELO)  X ",'MONTE AQUI SUA CADEIRA DE RODAS'!J195," (ANTE PÉ)"))</f>
        <v/>
      </c>
    </row>
    <row r="156" spans="3:84" ht="23.25" customHeight="1" x14ac:dyDescent="0.25">
      <c r="H156" s="28"/>
      <c r="J156" s="37"/>
      <c r="L156" s="38"/>
      <c r="N156" s="52"/>
      <c r="P156" s="69"/>
      <c r="Q156" s="69"/>
      <c r="R156" s="69"/>
      <c r="T156" s="65"/>
      <c r="U156" s="65"/>
      <c r="V156" s="65"/>
      <c r="W156"/>
      <c r="AR156" s="28"/>
      <c r="AV156" s="34">
        <v>5</v>
      </c>
      <c r="AW156" s="35" t="s">
        <v>116</v>
      </c>
      <c r="AZ156"/>
      <c r="BA156"/>
      <c r="BB156"/>
      <c r="BC156"/>
      <c r="BD156"/>
      <c r="BE156" s="34">
        <v>3</v>
      </c>
      <c r="BF156" s="35" t="s">
        <v>176</v>
      </c>
      <c r="BJ156" s="64"/>
      <c r="BO156" s="28"/>
      <c r="BX156" s="28"/>
    </row>
    <row r="157" spans="3:84" ht="23.25" customHeight="1" x14ac:dyDescent="0.25">
      <c r="H157" s="28"/>
      <c r="J157" s="37"/>
      <c r="L157" s="38"/>
      <c r="N157" s="52"/>
      <c r="P157" s="69"/>
      <c r="Q157" s="69"/>
      <c r="R157" s="69"/>
      <c r="T157" s="65"/>
      <c r="U157" s="65"/>
      <c r="V157" s="65"/>
      <c r="W157"/>
      <c r="AR157" s="28"/>
      <c r="AV157" s="39">
        <v>6</v>
      </c>
      <c r="AW157" s="40" t="s">
        <v>25</v>
      </c>
      <c r="AZ157"/>
      <c r="BA157"/>
      <c r="BB157"/>
      <c r="BC157"/>
      <c r="BD157"/>
      <c r="BE157" s="123">
        <v>4</v>
      </c>
      <c r="BF157" s="40" t="s">
        <v>25</v>
      </c>
      <c r="BK157" s="501" t="s">
        <v>139</v>
      </c>
      <c r="BL157" s="502"/>
      <c r="BO157" s="28"/>
      <c r="BT157" s="57" t="str">
        <f>BI148</f>
        <v>SEM ESCOLHA</v>
      </c>
      <c r="BX157" s="28"/>
    </row>
    <row r="158" spans="3:84" ht="23.25" customHeight="1" x14ac:dyDescent="0.25">
      <c r="H158" s="28"/>
      <c r="J158" s="37"/>
      <c r="L158" s="38"/>
      <c r="N158" s="52"/>
      <c r="P158" s="69"/>
      <c r="Q158" s="69"/>
      <c r="R158" s="69"/>
      <c r="T158" s="65"/>
      <c r="U158" s="65"/>
      <c r="V158" s="65"/>
      <c r="W158"/>
      <c r="X158" s="486" t="s">
        <v>187</v>
      </c>
      <c r="Y158" s="486"/>
      <c r="Z158" s="486"/>
      <c r="AA158" s="486"/>
      <c r="AB158" s="486"/>
      <c r="AC158" s="486"/>
      <c r="AR158" s="28"/>
      <c r="AZ158"/>
      <c r="BA158"/>
      <c r="BB158"/>
      <c r="BC158"/>
      <c r="BD158"/>
      <c r="BE158"/>
      <c r="BF158"/>
      <c r="BK158" s="425" t="b">
        <v>1</v>
      </c>
      <c r="BL158" s="426"/>
      <c r="BO158" s="28"/>
      <c r="BX158" s="28"/>
    </row>
    <row r="159" spans="3:84" ht="30" customHeight="1" x14ac:dyDescent="0.25">
      <c r="H159" s="28"/>
      <c r="J159" s="37"/>
      <c r="L159" s="38"/>
      <c r="N159" s="52"/>
      <c r="P159" s="69"/>
      <c r="Q159" s="69"/>
      <c r="R159" s="69"/>
      <c r="T159" s="65"/>
      <c r="U159" s="65"/>
      <c r="V159" s="65"/>
      <c r="W159"/>
      <c r="X159" s="432" t="s">
        <v>104</v>
      </c>
      <c r="AB159" s="432" t="s">
        <v>105</v>
      </c>
      <c r="AC159" s="432"/>
      <c r="AR159" s="28"/>
      <c r="AZ159"/>
      <c r="BA159"/>
      <c r="BB159"/>
      <c r="BC159"/>
      <c r="BD159"/>
      <c r="BE159"/>
      <c r="BF159"/>
      <c r="BO159" s="28"/>
      <c r="BX159" s="28"/>
      <c r="BZ159" s="51" t="str">
        <f>IF(BK158=FALSE,"",BK157)</f>
        <v>INSERIR PLANO EM P.A.D.</v>
      </c>
    </row>
    <row r="160" spans="3:84" x14ac:dyDescent="0.25">
      <c r="H160" s="28"/>
      <c r="X160" s="432"/>
      <c r="Z160" s="66"/>
      <c r="AB160" s="432"/>
      <c r="AC160" s="432"/>
      <c r="AR160" s="28"/>
      <c r="AZ160"/>
      <c r="BA160"/>
      <c r="BB160"/>
      <c r="BC160"/>
      <c r="BD160"/>
      <c r="BE160"/>
      <c r="BF160"/>
      <c r="BK160" s="115" t="str">
        <f>'MONTE AQUI SUA CADEIRA DE RODAS'!CJ43</f>
        <v>assento</v>
      </c>
      <c r="BO160" s="28"/>
      <c r="BX160" s="28"/>
    </row>
    <row r="161" spans="3:80" ht="15.75" customHeight="1" x14ac:dyDescent="0.25">
      <c r="H161" s="28"/>
      <c r="T161" s="497" t="str">
        <f>IF(AV148=5,"TAMANHO PADRÃO
BASEADO NO CHASSIS ESCOLHIDO","")</f>
        <v/>
      </c>
      <c r="U161" s="497"/>
      <c r="Z161" s="66"/>
      <c r="AR161" s="28"/>
      <c r="AZ161"/>
      <c r="BA161"/>
      <c r="BB161"/>
      <c r="BC161"/>
      <c r="BD161"/>
      <c r="BE161"/>
      <c r="BF161"/>
      <c r="BK161" s="116" t="str">
        <f>'MONTE AQUI SUA CADEIRA DE RODAS'!CJ44</f>
        <v>SEM ESCOLHA</v>
      </c>
      <c r="BO161" s="28"/>
      <c r="BX161" s="28"/>
    </row>
    <row r="162" spans="3:80" x14ac:dyDescent="0.25">
      <c r="H162" s="28"/>
      <c r="T162" s="497"/>
      <c r="U162" s="497"/>
      <c r="Z162" s="66"/>
      <c r="AR162" s="28"/>
      <c r="AZ162"/>
      <c r="BA162"/>
      <c r="BB162"/>
      <c r="BC162"/>
      <c r="BD162"/>
      <c r="BE162"/>
      <c r="BF162"/>
      <c r="BO162" s="28"/>
      <c r="BX162" s="28"/>
      <c r="BZ162" s="51" t="e">
        <f>IF(BE149=FALSE,BT165,BT163)</f>
        <v>#N/A</v>
      </c>
    </row>
    <row r="163" spans="3:80" ht="15" customHeight="1" x14ac:dyDescent="0.25">
      <c r="H163" s="28"/>
      <c r="T163" s="498" t="str">
        <f>IF(AV148=5,BT165,"")</f>
        <v/>
      </c>
      <c r="U163" s="498"/>
      <c r="Y163" s="100"/>
      <c r="Z163" s="100"/>
      <c r="AA163" s="100"/>
      <c r="AB163" s="100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8"/>
      <c r="AZ163"/>
      <c r="BA163"/>
      <c r="BB163"/>
      <c r="BC163"/>
      <c r="BD163"/>
      <c r="BE163"/>
      <c r="BF163"/>
      <c r="BK163" s="128" t="s">
        <v>232</v>
      </c>
      <c r="BL163" s="129" t="str">
        <f>'MONTE AQUI SUA CADEIRA DE RODAS'!CH44</f>
        <v>FALTA TAMANHO</v>
      </c>
      <c r="BO163" s="28"/>
      <c r="BT163" s="25" t="str">
        <f>BF150</f>
        <v>SEM ESCOLHA</v>
      </c>
      <c r="BX163" s="28"/>
    </row>
    <row r="164" spans="3:80" ht="15" customHeight="1" x14ac:dyDescent="0.25">
      <c r="H164" s="28"/>
      <c r="T164" s="498"/>
      <c r="U164" s="498"/>
      <c r="AR164" s="28"/>
      <c r="AZ164"/>
      <c r="BA164"/>
      <c r="BB164"/>
      <c r="BC164"/>
      <c r="BD164"/>
      <c r="BE164"/>
      <c r="BF164"/>
      <c r="BO164" s="28"/>
      <c r="BX164" s="28"/>
    </row>
    <row r="165" spans="3:80" ht="15" customHeight="1" x14ac:dyDescent="0.25">
      <c r="H165" s="28"/>
      <c r="T165" s="498"/>
      <c r="U165" s="498"/>
      <c r="AR165" s="28"/>
      <c r="AZ165"/>
      <c r="BA165"/>
      <c r="BB165"/>
      <c r="BC165"/>
      <c r="BD165"/>
      <c r="BE165"/>
      <c r="BF165"/>
      <c r="BK165" s="41" t="s">
        <v>25</v>
      </c>
      <c r="BL165" s="41" t="s">
        <v>25</v>
      </c>
      <c r="BO165" s="28"/>
      <c r="BT165" s="65" t="e">
        <f>VLOOKUP(BL163,$BK$165:$BL$171,2,FALSE)</f>
        <v>#N/A</v>
      </c>
      <c r="BX165" s="28"/>
    </row>
    <row r="166" spans="3:80" x14ac:dyDescent="0.25">
      <c r="H166" s="28"/>
      <c r="AR166" s="28"/>
      <c r="AZ166"/>
      <c r="BA166"/>
      <c r="BB166"/>
      <c r="BC166"/>
      <c r="BD166"/>
      <c r="BE166"/>
      <c r="BF166"/>
      <c r="BK166" s="41">
        <v>34</v>
      </c>
      <c r="BL166" s="41" t="s">
        <v>31</v>
      </c>
      <c r="BO166" s="28"/>
      <c r="BX166" s="28"/>
    </row>
    <row r="167" spans="3:80" x14ac:dyDescent="0.25">
      <c r="H167" s="28"/>
      <c r="AR167" s="28"/>
      <c r="AZ167"/>
      <c r="BA167"/>
      <c r="BB167"/>
      <c r="BC167"/>
      <c r="BD167"/>
      <c r="BE167"/>
      <c r="BF167"/>
      <c r="BK167" s="41">
        <v>36</v>
      </c>
      <c r="BL167" s="41" t="s">
        <v>233</v>
      </c>
      <c r="BO167" s="28"/>
      <c r="BX167" s="28"/>
    </row>
    <row r="168" spans="3:80" x14ac:dyDescent="0.25">
      <c r="H168" s="28"/>
      <c r="Z168" s="66"/>
      <c r="AR168" s="28"/>
      <c r="AZ168"/>
      <c r="BA168"/>
      <c r="BB168"/>
      <c r="BC168"/>
      <c r="BD168"/>
      <c r="BE168"/>
      <c r="BF168"/>
      <c r="BK168" s="41">
        <v>40</v>
      </c>
      <c r="BL168" s="41" t="s">
        <v>233</v>
      </c>
      <c r="BO168" s="28"/>
      <c r="BX168" s="28"/>
    </row>
    <row r="169" spans="3:80" x14ac:dyDescent="0.25">
      <c r="H169" s="28"/>
      <c r="Y169" s="100"/>
      <c r="Z169" s="100"/>
      <c r="AA169" s="100"/>
      <c r="AB169" s="100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256"/>
      <c r="AQ169" s="256"/>
      <c r="AR169" s="28"/>
      <c r="AZ169"/>
      <c r="BA169"/>
      <c r="BB169"/>
      <c r="BC169"/>
      <c r="BD169"/>
      <c r="BE169"/>
      <c r="BF169"/>
      <c r="BK169" s="41">
        <v>44</v>
      </c>
      <c r="BL169" s="41" t="s">
        <v>30</v>
      </c>
      <c r="BO169" s="28"/>
      <c r="BX169" s="28"/>
    </row>
    <row r="170" spans="3:80" ht="15.75" thickBot="1" x14ac:dyDescent="0.3">
      <c r="H170" s="28"/>
      <c r="J170" s="43" t="s">
        <v>90</v>
      </c>
      <c r="Y170" s="100"/>
      <c r="Z170" s="100"/>
      <c r="AA170" s="100"/>
      <c r="AB170" s="100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8"/>
      <c r="AZ170"/>
      <c r="BA170"/>
      <c r="BB170"/>
      <c r="BC170"/>
      <c r="BD170"/>
      <c r="BE170"/>
      <c r="BF170"/>
      <c r="BK170" s="41">
        <v>46</v>
      </c>
      <c r="BL170" s="41" t="s">
        <v>30</v>
      </c>
      <c r="BO170" s="28"/>
      <c r="BR170" s="29" t="s">
        <v>56</v>
      </c>
      <c r="BX170" s="28"/>
      <c r="BZ170" s="29" t="s">
        <v>56</v>
      </c>
    </row>
    <row r="171" spans="3:80" ht="35.25" customHeight="1" thickBot="1" x14ac:dyDescent="0.3">
      <c r="H171" s="28"/>
      <c r="J171" s="439" t="s">
        <v>91</v>
      </c>
      <c r="K171" s="439"/>
      <c r="L171" s="439"/>
      <c r="M171" s="439"/>
      <c r="N171" s="439"/>
      <c r="Y171" s="100"/>
      <c r="Z171" s="100"/>
      <c r="AA171" s="100"/>
      <c r="AB171" s="100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256"/>
      <c r="AQ171" s="256"/>
      <c r="AR171" s="28"/>
      <c r="AZ171"/>
      <c r="BA171"/>
      <c r="BB171"/>
      <c r="BC171"/>
      <c r="BD171"/>
      <c r="BE171"/>
      <c r="BF171"/>
      <c r="BK171" s="41"/>
      <c r="BL171" s="41"/>
      <c r="BO171" s="28"/>
      <c r="BR171" s="67" t="s">
        <v>91</v>
      </c>
      <c r="BX171" s="28"/>
      <c r="BZ171" s="68" t="str">
        <f>IF(J171=BR171,"",J171)</f>
        <v/>
      </c>
    </row>
    <row r="172" spans="3:80" x14ac:dyDescent="0.25">
      <c r="H172" s="28"/>
      <c r="AR172" s="28"/>
      <c r="BO172" s="28"/>
      <c r="BX172" s="28"/>
    </row>
    <row r="173" spans="3:80" s="28" customFormat="1" ht="8.25" customHeight="1" thickBot="1" x14ac:dyDescent="0.3"/>
    <row r="174" spans="3:80" ht="15.75" thickBot="1" x14ac:dyDescent="0.3">
      <c r="H174" s="28"/>
      <c r="J174" s="413" t="s">
        <v>108</v>
      </c>
      <c r="K174" s="413"/>
      <c r="L174" s="413"/>
      <c r="M174" s="459" t="s">
        <v>312</v>
      </c>
      <c r="N174" s="460"/>
      <c r="O174" s="460"/>
      <c r="P174" s="463" t="str">
        <f>'MONTE AQUI SUA CADEIRA DE RODAS'!$Q$39</f>
        <v xml:space="preserve"> SEM ESCOLHA     -     TAMANHO - 0</v>
      </c>
      <c r="Q174" s="463"/>
      <c r="R174" s="464"/>
      <c r="AR174" s="28"/>
      <c r="BO174" s="28"/>
      <c r="BS174" s="25" t="s">
        <v>252</v>
      </c>
      <c r="BX174" s="28"/>
    </row>
    <row r="175" spans="3:80" ht="24.75" customHeight="1" thickBot="1" x14ac:dyDescent="0.3">
      <c r="C175" s="455" t="s">
        <v>39</v>
      </c>
      <c r="D175" s="455"/>
      <c r="H175" s="28"/>
      <c r="J175" s="413"/>
      <c r="K175" s="413"/>
      <c r="L175" s="413"/>
      <c r="M175" s="461"/>
      <c r="N175" s="462"/>
      <c r="O175" s="462"/>
      <c r="P175" s="465"/>
      <c r="Q175" s="465"/>
      <c r="R175" s="466"/>
      <c r="T175" s="428"/>
      <c r="U175" s="428"/>
      <c r="V175" s="428"/>
      <c r="Z175" s="441"/>
      <c r="AA175" s="441"/>
      <c r="AB175" s="441"/>
      <c r="AC175" s="255"/>
      <c r="AD175" s="255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  <c r="AO175" s="255"/>
      <c r="AP175" s="255"/>
      <c r="AQ175" s="255"/>
      <c r="AR175" s="28"/>
      <c r="AZ175" s="484" t="s">
        <v>72</v>
      </c>
      <c r="BA175" s="485"/>
      <c r="BO175" s="28"/>
      <c r="BR175" s="25" t="s">
        <v>240</v>
      </c>
      <c r="BS175" s="25" t="s">
        <v>241</v>
      </c>
      <c r="BU175" s="25" t="s">
        <v>242</v>
      </c>
      <c r="BX175" s="28"/>
      <c r="BZ175" s="51" t="str">
        <f>IF(AZ178=TRUE,CONCATENATE(BE176,BS176,BU176," CM"),"")</f>
        <v/>
      </c>
      <c r="CB175" s="51"/>
    </row>
    <row r="176" spans="3:80" x14ac:dyDescent="0.25">
      <c r="C176" s="455"/>
      <c r="D176" s="455"/>
      <c r="H176" s="28"/>
      <c r="AR176" s="28"/>
      <c r="AV176" s="424" t="s">
        <v>75</v>
      </c>
      <c r="AW176" s="424"/>
      <c r="AZ176"/>
      <c r="BA176"/>
      <c r="BE176" s="481" t="s">
        <v>245</v>
      </c>
      <c r="BF176" s="482"/>
      <c r="BO176" s="28"/>
      <c r="BR176" s="25" t="str">
        <f>IF(BE177=TRUE,"INSERIR FAIXA DE VELCRO ","")</f>
        <v/>
      </c>
      <c r="BS176" s="25" t="str">
        <f>IF(AZ178=TRUE,AZ177,"")</f>
        <v/>
      </c>
      <c r="BU176" s="25" t="str">
        <f>IF(BF178=0,"FALTA MEDIDA",BF178)</f>
        <v>FALTA MEDIDA</v>
      </c>
      <c r="BX176" s="28"/>
      <c r="BZ176" s="51" t="str">
        <f>IF(AZ181=TRUE,CONCATENATE(BE176,BS177,BU177," CM"),"")</f>
        <v/>
      </c>
      <c r="CB176" s="51"/>
    </row>
    <row r="177" spans="8:80" ht="23.25" customHeight="1" x14ac:dyDescent="0.25">
      <c r="H177" s="28"/>
      <c r="AR177" s="28"/>
      <c r="AV177" s="425" t="b">
        <v>0</v>
      </c>
      <c r="AW177" s="426"/>
      <c r="AZ177" s="424" t="s">
        <v>243</v>
      </c>
      <c r="BA177" s="424"/>
      <c r="BE177"/>
      <c r="BF177"/>
      <c r="BO177" s="28"/>
      <c r="BR177" s="25" t="str">
        <f>IF(BE177=TRUE,"INSERIR FAIXA DE VELCRO ","")</f>
        <v/>
      </c>
      <c r="BS177" s="25" t="str">
        <f>IF(AZ181=TRUE,AZ180,"")</f>
        <v/>
      </c>
      <c r="BU177" s="25" t="str">
        <f>IF(BF179=0,"FALTA MEDIDA",BF179)</f>
        <v>FALTA MEDIDA</v>
      </c>
      <c r="BX177" s="28"/>
    </row>
    <row r="178" spans="8:80" ht="27" customHeight="1" x14ac:dyDescent="0.25">
      <c r="H178" s="28"/>
      <c r="L178"/>
      <c r="M178"/>
      <c r="N178"/>
      <c r="W178" s="25" t="s">
        <v>35</v>
      </c>
      <c r="AR178" s="28"/>
      <c r="AZ178" s="425" t="b">
        <v>0</v>
      </c>
      <c r="BA178" s="426"/>
      <c r="BB178" s="160"/>
      <c r="BE178" s="34" t="s">
        <v>239</v>
      </c>
      <c r="BF178" s="1">
        <f>J194</f>
        <v>0</v>
      </c>
      <c r="BO178" s="28"/>
      <c r="BX178" s="28"/>
      <c r="BZ178" s="51" t="str">
        <f>IF(AV180=FALSE,"",AV179)</f>
        <v/>
      </c>
      <c r="CB178" s="51" t="str">
        <f>IF(AZ185=3,"",IF(AV180=FALSE,"",BA185))</f>
        <v/>
      </c>
    </row>
    <row r="179" spans="8:80" ht="23.25" customHeight="1" x14ac:dyDescent="0.25">
      <c r="H179" s="28"/>
      <c r="J179" s="37"/>
      <c r="L179" s="26"/>
      <c r="M179" s="26"/>
      <c r="N179" s="310"/>
      <c r="P179" s="69"/>
      <c r="Q179" s="69"/>
      <c r="R179" s="69"/>
      <c r="T179" s="280"/>
      <c r="U179" s="280"/>
      <c r="V179" s="280"/>
      <c r="AR179" s="28"/>
      <c r="AV179" s="424" t="str">
        <f>IF(BE185=0,"",IF(BE185=3,"",BF185))</f>
        <v/>
      </c>
      <c r="AW179" s="424"/>
      <c r="AZ179"/>
      <c r="BA179"/>
      <c r="BE179" s="34" t="s">
        <v>74</v>
      </c>
      <c r="BF179" s="1">
        <f>J195</f>
        <v>0</v>
      </c>
      <c r="BO179" s="28"/>
      <c r="BX179" s="28"/>
    </row>
    <row r="180" spans="8:80" ht="23.25" customHeight="1" x14ac:dyDescent="0.25">
      <c r="H180" s="28"/>
      <c r="J180" s="37"/>
      <c r="L180" s="26"/>
      <c r="M180" s="26"/>
      <c r="N180" s="310"/>
      <c r="P180" s="69"/>
      <c r="Q180" s="69"/>
      <c r="R180" s="69"/>
      <c r="T180" s="280"/>
      <c r="U180" s="280"/>
      <c r="V180" s="280"/>
      <c r="AR180" s="28"/>
      <c r="AV180" s="425" t="b">
        <v>1</v>
      </c>
      <c r="AW180" s="426"/>
      <c r="AZ180" s="424" t="s">
        <v>244</v>
      </c>
      <c r="BA180" s="424"/>
      <c r="BO180" s="28"/>
      <c r="BX180" s="28"/>
      <c r="BZ180" s="51" t="str">
        <f>IF(AV183=FALSE,"",AV182)</f>
        <v/>
      </c>
    </row>
    <row r="181" spans="8:80" ht="23.25" customHeight="1" x14ac:dyDescent="0.25">
      <c r="H181" s="28"/>
      <c r="J181" s="37"/>
      <c r="L181" s="26"/>
      <c r="M181" s="26"/>
      <c r="N181" s="310"/>
      <c r="P181" s="69"/>
      <c r="Q181" s="279"/>
      <c r="R181" s="279"/>
      <c r="S181"/>
      <c r="T181" s="280"/>
      <c r="U181" s="280"/>
      <c r="V181" s="280"/>
      <c r="AR181" s="28"/>
      <c r="AZ181" s="425" t="b">
        <v>0</v>
      </c>
      <c r="BA181" s="426"/>
      <c r="BO181" s="28"/>
      <c r="BX181" s="28"/>
    </row>
    <row r="182" spans="8:80" ht="23.25" customHeight="1" x14ac:dyDescent="0.25">
      <c r="H182" s="28"/>
      <c r="J182" s="37"/>
      <c r="L182" s="26"/>
      <c r="M182" s="26"/>
      <c r="N182" s="310"/>
      <c r="P182" s="69"/>
      <c r="Q182" s="279"/>
      <c r="R182" s="279"/>
      <c r="S182"/>
      <c r="T182" s="65"/>
      <c r="U182" s="280"/>
      <c r="V182" s="280"/>
      <c r="AR182" s="28"/>
      <c r="AV182"/>
      <c r="AW182"/>
      <c r="AZ182"/>
      <c r="BA182"/>
      <c r="BO182" s="28"/>
      <c r="BX182" s="28"/>
      <c r="BZ182" s="51" t="str">
        <f>IF(AV186=FALSE,"",AV185)</f>
        <v/>
      </c>
    </row>
    <row r="183" spans="8:80" ht="23.25" customHeight="1" x14ac:dyDescent="0.25">
      <c r="H183" s="28"/>
      <c r="J183" s="37"/>
      <c r="L183" s="26"/>
      <c r="M183" s="26"/>
      <c r="N183" s="310"/>
      <c r="P183" s="69"/>
      <c r="Q183" s="279"/>
      <c r="R183" s="279"/>
      <c r="S183"/>
      <c r="T183" s="280"/>
      <c r="U183" s="280"/>
      <c r="V183" s="280"/>
      <c r="AR183" s="28"/>
      <c r="AV183"/>
      <c r="AW183"/>
      <c r="BO183" s="28"/>
      <c r="BS183" s="105"/>
      <c r="BX183" s="28"/>
    </row>
    <row r="184" spans="8:80" ht="23.25" customHeight="1" x14ac:dyDescent="0.25">
      <c r="H184" s="28"/>
      <c r="J184" s="37"/>
      <c r="L184" s="310"/>
      <c r="M184" s="26"/>
      <c r="N184" s="310"/>
      <c r="P184" s="69"/>
      <c r="Q184" s="279"/>
      <c r="R184" s="279"/>
      <c r="S184"/>
      <c r="T184" s="280"/>
      <c r="U184" s="280"/>
      <c r="V184" s="280"/>
      <c r="AR184" s="28"/>
      <c r="BO184" s="28"/>
      <c r="BX184" s="28"/>
      <c r="BZ184" s="51" t="str">
        <f>IF(AV189=FALSE,"",AV188)</f>
        <v/>
      </c>
    </row>
    <row r="185" spans="8:80" ht="23.25" customHeight="1" x14ac:dyDescent="0.25">
      <c r="H185" s="28"/>
      <c r="J185" s="37"/>
      <c r="L185"/>
      <c r="N185"/>
      <c r="P185" s="69"/>
      <c r="Q185" s="69"/>
      <c r="R185" s="69"/>
      <c r="T185" s="280"/>
      <c r="U185" s="280"/>
      <c r="V185" s="280"/>
      <c r="AR185" s="28"/>
      <c r="AV185" s="424" t="str">
        <f>CONCATENATE("REVESTIMENTO ",BK185)</f>
        <v>REVESTIMENTO SEM ESCOLHA</v>
      </c>
      <c r="AW185" s="424"/>
      <c r="AZ185" s="23">
        <v>3</v>
      </c>
      <c r="BA185" s="31" t="str">
        <f>VLOOKUP(AZ185,AZ188:BA191,2,FALSE)</f>
        <v>SEM ESCOLHA</v>
      </c>
      <c r="BE185" s="23">
        <v>3</v>
      </c>
      <c r="BF185" s="31" t="str">
        <f>VLOOKUP(BE185,BE188:BF191,2,FALSE)</f>
        <v>SEM ESCOLHA</v>
      </c>
      <c r="BJ185" s="23">
        <v>3</v>
      </c>
      <c r="BK185" s="31" t="str">
        <f>VLOOKUP(BJ185,BJ188:BK191,2,FALSE)</f>
        <v>SEM ESCOLHA</v>
      </c>
      <c r="BO185" s="28"/>
      <c r="BX185" s="28"/>
    </row>
    <row r="186" spans="8:80" ht="23.25" customHeight="1" x14ac:dyDescent="0.25">
      <c r="H186" s="28"/>
      <c r="J186" s="37"/>
      <c r="L186"/>
      <c r="N186"/>
      <c r="P186" s="69"/>
      <c r="Q186" s="69"/>
      <c r="R186" s="69"/>
      <c r="T186" s="280"/>
      <c r="U186" s="280"/>
      <c r="V186" s="280"/>
      <c r="AR186" s="28"/>
      <c r="AV186" s="425" t="b">
        <v>0</v>
      </c>
      <c r="AW186" s="426"/>
      <c r="AZ186" s="477" t="s">
        <v>73</v>
      </c>
      <c r="BA186" s="477"/>
      <c r="BE186" s="477" t="s">
        <v>279</v>
      </c>
      <c r="BF186" s="477"/>
      <c r="BJ186" s="477" t="s">
        <v>288</v>
      </c>
      <c r="BK186" s="477"/>
      <c r="BO186" s="28"/>
      <c r="BX186" s="28"/>
    </row>
    <row r="187" spans="8:80" ht="15" customHeight="1" x14ac:dyDescent="0.25">
      <c r="H187" s="28"/>
      <c r="T187"/>
      <c r="U187"/>
      <c r="V187"/>
      <c r="AR187" s="28"/>
      <c r="AZ187" s="478"/>
      <c r="BA187" s="478"/>
      <c r="BE187" s="478"/>
      <c r="BF187" s="478"/>
      <c r="BJ187" s="478"/>
      <c r="BK187" s="478"/>
      <c r="BO187" s="28"/>
      <c r="BX187" s="28"/>
    </row>
    <row r="188" spans="8:80" x14ac:dyDescent="0.25">
      <c r="H188" s="28"/>
      <c r="T188" s="421"/>
      <c r="U188" s="421"/>
      <c r="V188" s="421"/>
      <c r="W188" s="421"/>
      <c r="X188" s="421"/>
      <c r="Y188" s="421"/>
      <c r="AR188" s="28"/>
      <c r="AV188" s="424" t="s">
        <v>338</v>
      </c>
      <c r="AW188" s="424"/>
      <c r="AZ188" s="48">
        <v>0</v>
      </c>
      <c r="BA188" s="49" t="s">
        <v>8</v>
      </c>
      <c r="BE188" s="48">
        <v>0</v>
      </c>
      <c r="BF188" s="49" t="s">
        <v>8</v>
      </c>
      <c r="BJ188" s="48">
        <v>0</v>
      </c>
      <c r="BK188" s="49" t="s">
        <v>8</v>
      </c>
      <c r="BO188" s="28"/>
      <c r="BS188" s="104" t="str">
        <f>IF(T190=AV194,"",T190)</f>
        <v/>
      </c>
      <c r="BX188" s="28"/>
    </row>
    <row r="189" spans="8:80" x14ac:dyDescent="0.25">
      <c r="H189" s="28"/>
      <c r="T189" s="421"/>
      <c r="U189" s="421"/>
      <c r="V189" s="421"/>
      <c r="W189" s="421"/>
      <c r="X189" s="421"/>
      <c r="Y189" s="421"/>
      <c r="AR189" s="28"/>
      <c r="AV189" s="425" t="b">
        <v>0</v>
      </c>
      <c r="AW189" s="426"/>
      <c r="AZ189" s="34">
        <v>1</v>
      </c>
      <c r="BA189" s="35" t="s">
        <v>141</v>
      </c>
      <c r="BE189" s="34">
        <v>1</v>
      </c>
      <c r="BF189" s="35" t="s">
        <v>375</v>
      </c>
      <c r="BJ189" s="34">
        <v>1</v>
      </c>
      <c r="BK189" s="35" t="s">
        <v>289</v>
      </c>
      <c r="BO189" s="28"/>
      <c r="BX189" s="28"/>
    </row>
    <row r="190" spans="8:80" x14ac:dyDescent="0.25">
      <c r="H190" s="28"/>
      <c r="T190"/>
      <c r="U190"/>
      <c r="V190"/>
      <c r="W190"/>
      <c r="X190"/>
      <c r="Y190"/>
      <c r="AR190" s="28"/>
      <c r="AZ190" s="34">
        <v>2</v>
      </c>
      <c r="BA190" s="35" t="s">
        <v>140</v>
      </c>
      <c r="BE190" s="34">
        <v>2</v>
      </c>
      <c r="BF190" s="35" t="s">
        <v>376</v>
      </c>
      <c r="BJ190" s="34">
        <v>2</v>
      </c>
      <c r="BK190" s="35" t="s">
        <v>290</v>
      </c>
      <c r="BO190" s="28"/>
      <c r="BX190" s="28"/>
    </row>
    <row r="191" spans="8:80" x14ac:dyDescent="0.25">
      <c r="H191" s="28"/>
      <c r="T191"/>
      <c r="U191"/>
      <c r="V191"/>
      <c r="W191"/>
      <c r="X191"/>
      <c r="Y191"/>
      <c r="AR191" s="28"/>
      <c r="AV191"/>
      <c r="AW191"/>
      <c r="AZ191" s="39">
        <v>3</v>
      </c>
      <c r="BA191" s="40" t="s">
        <v>25</v>
      </c>
      <c r="BE191" s="151">
        <v>3</v>
      </c>
      <c r="BF191" s="40" t="s">
        <v>25</v>
      </c>
      <c r="BJ191" s="151">
        <v>3</v>
      </c>
      <c r="BK191" s="40" t="s">
        <v>25</v>
      </c>
      <c r="BO191" s="28"/>
      <c r="BX191" s="28"/>
    </row>
    <row r="192" spans="8:80" x14ac:dyDescent="0.25">
      <c r="H192" s="28"/>
      <c r="J192" s="479" t="s">
        <v>238</v>
      </c>
      <c r="T192" s="483"/>
      <c r="U192" s="483"/>
      <c r="V192" s="483"/>
      <c r="W192" s="483"/>
      <c r="X192" s="483"/>
      <c r="Y192" s="483"/>
      <c r="AR192" s="28"/>
      <c r="AV192"/>
      <c r="AW192"/>
      <c r="AX192"/>
      <c r="BO192" s="28"/>
      <c r="BX192" s="28"/>
    </row>
    <row r="193" spans="3:80" x14ac:dyDescent="0.25">
      <c r="H193" s="28"/>
      <c r="J193" s="480"/>
      <c r="K193" s="135"/>
      <c r="L193" s="135"/>
      <c r="AR193" s="28"/>
      <c r="AV193"/>
      <c r="AW193"/>
      <c r="AX193"/>
      <c r="BO193" s="28"/>
      <c r="BX193" s="28"/>
    </row>
    <row r="194" spans="3:80" x14ac:dyDescent="0.25">
      <c r="H194" s="28"/>
      <c r="J194" s="1">
        <v>0</v>
      </c>
      <c r="K194" s="78" t="s">
        <v>88</v>
      </c>
      <c r="AR194" s="28"/>
      <c r="AV194"/>
      <c r="AW194"/>
      <c r="AX194"/>
      <c r="BO194" s="28"/>
      <c r="BX194" s="28"/>
    </row>
    <row r="195" spans="3:80" x14ac:dyDescent="0.25">
      <c r="H195" s="28"/>
      <c r="J195" s="1">
        <v>0</v>
      </c>
      <c r="K195" s="78" t="s">
        <v>74</v>
      </c>
      <c r="AR195" s="28"/>
      <c r="BO195" s="28"/>
      <c r="BX195" s="28"/>
    </row>
    <row r="196" spans="3:80" x14ac:dyDescent="0.25">
      <c r="H196" s="28"/>
      <c r="AR196" s="28"/>
      <c r="BO196" s="28"/>
      <c r="BX196" s="28"/>
    </row>
    <row r="197" spans="3:80" s="28" customFormat="1" ht="8.25" customHeight="1" thickBot="1" x14ac:dyDescent="0.3"/>
    <row r="198" spans="3:80" x14ac:dyDescent="0.25">
      <c r="H198" s="28"/>
      <c r="J198" s="413" t="s">
        <v>109</v>
      </c>
      <c r="K198" s="413"/>
      <c r="L198" s="413"/>
      <c r="M198" s="459" t="s">
        <v>312</v>
      </c>
      <c r="N198" s="460"/>
      <c r="O198" s="460"/>
      <c r="P198" s="463" t="str">
        <f>'MONTE AQUI SUA CADEIRA DE RODAS'!$Q$39</f>
        <v xml:space="preserve"> SEM ESCOLHA     -     TAMANHO - 0</v>
      </c>
      <c r="Q198" s="463"/>
      <c r="R198" s="464"/>
      <c r="AR198" s="28"/>
      <c r="BO198" s="28"/>
      <c r="BX198" s="28"/>
    </row>
    <row r="199" spans="3:80" ht="24.75" customHeight="1" thickBot="1" x14ac:dyDescent="0.3">
      <c r="C199" s="455" t="s">
        <v>39</v>
      </c>
      <c r="D199" s="455"/>
      <c r="H199" s="28"/>
      <c r="J199" s="413"/>
      <c r="K199" s="413"/>
      <c r="L199" s="413"/>
      <c r="M199" s="461"/>
      <c r="N199" s="462"/>
      <c r="O199" s="462"/>
      <c r="P199" s="465"/>
      <c r="Q199" s="465"/>
      <c r="R199" s="466"/>
      <c r="T199" s="428"/>
      <c r="U199" s="428"/>
      <c r="V199" s="428"/>
      <c r="Y199" s="441"/>
      <c r="Z199" s="441"/>
      <c r="AR199" s="28"/>
      <c r="BO199" s="28"/>
      <c r="BR199" s="25" t="s">
        <v>225</v>
      </c>
      <c r="BX199" s="28"/>
    </row>
    <row r="200" spans="3:80" x14ac:dyDescent="0.25">
      <c r="C200" s="455"/>
      <c r="D200" s="455"/>
      <c r="H200" s="28"/>
      <c r="AR200" s="28"/>
      <c r="BO200" s="28"/>
      <c r="BX200" s="28"/>
    </row>
    <row r="201" spans="3:80" ht="24" customHeight="1" x14ac:dyDescent="0.25">
      <c r="H201" s="28"/>
      <c r="AR201" s="28"/>
      <c r="AV201" s="24">
        <v>5</v>
      </c>
      <c r="AW201" s="31" t="str">
        <f>VLOOKUP(AV201,$AV$204:$AW$208,2,FALSE)</f>
        <v>SEM ESCOLHA</v>
      </c>
      <c r="BF201" s="476" t="s">
        <v>223</v>
      </c>
      <c r="BG201" s="476"/>
      <c r="BO201" s="28"/>
      <c r="BX201" s="28"/>
    </row>
    <row r="202" spans="3:80" ht="24" customHeight="1" x14ac:dyDescent="0.25">
      <c r="H202" s="28"/>
      <c r="AR202" s="28"/>
      <c r="AV202" s="442" t="s">
        <v>120</v>
      </c>
      <c r="AW202" s="442"/>
      <c r="AZ202" s="24">
        <v>4</v>
      </c>
      <c r="BA202" s="31" t="str">
        <f>VLOOKUP(AZ202,AZ204:BA208,2,FALSE)</f>
        <v>SEM ESCOLHA</v>
      </c>
      <c r="BF202" s="473" t="b">
        <f>'MONTE AQUI SUA CADEIRA DE RODAS'!BP140</f>
        <v>0</v>
      </c>
      <c r="BG202" s="473"/>
      <c r="BO202" s="28"/>
      <c r="BX202" s="28"/>
      <c r="BZ202" s="51" t="str">
        <f>AW201</f>
        <v>SEM ESCOLHA</v>
      </c>
      <c r="CB202" s="51" t="str">
        <f>IF(BZ202="IMCOMPATIVEL","",IF(AV201=5,"",IF(AV201=0,"",BT206)))</f>
        <v/>
      </c>
    </row>
    <row r="203" spans="3:80" ht="24" customHeight="1" thickBot="1" x14ac:dyDescent="0.3">
      <c r="H203" s="28"/>
      <c r="J203" s="37"/>
      <c r="L203" s="38"/>
      <c r="N203" s="52"/>
      <c r="P203" s="260"/>
      <c r="Q203" s="260"/>
      <c r="R203" s="260"/>
      <c r="S203" s="260"/>
      <c r="AR203" s="28"/>
      <c r="AV203" s="443"/>
      <c r="AW203" s="443"/>
      <c r="AZ203" s="410" t="s">
        <v>119</v>
      </c>
      <c r="BA203" s="410"/>
      <c r="BO203" s="28"/>
      <c r="BR203" s="25" t="str">
        <f>IF(AW201=BR199,"SEM ESCOLHA",AW201)</f>
        <v>SEM ESCOLHA</v>
      </c>
      <c r="BS203" s="25" t="str">
        <f>BA202</f>
        <v>SEM ESCOLHA</v>
      </c>
      <c r="BX203" s="28"/>
    </row>
    <row r="204" spans="3:80" ht="23.25" customHeight="1" x14ac:dyDescent="0.25">
      <c r="H204" s="28"/>
      <c r="J204" s="37"/>
      <c r="L204" s="38"/>
      <c r="N204" s="52"/>
      <c r="P204" s="260"/>
      <c r="Q204" s="260"/>
      <c r="R204" s="260"/>
      <c r="S204" s="260"/>
      <c r="AR204" s="28"/>
      <c r="AV204" s="34">
        <v>1</v>
      </c>
      <c r="AW204" s="35" t="s">
        <v>377</v>
      </c>
      <c r="AZ204" s="48">
        <v>0</v>
      </c>
      <c r="BA204" s="49" t="s">
        <v>8</v>
      </c>
      <c r="BF204" s="467" t="s">
        <v>224</v>
      </c>
      <c r="BG204" s="468"/>
      <c r="BO204" s="28"/>
      <c r="BX204" s="28"/>
    </row>
    <row r="205" spans="3:80" ht="23.25" customHeight="1" x14ac:dyDescent="0.25">
      <c r="H205" s="28"/>
      <c r="J205" s="37"/>
      <c r="L205" s="38"/>
      <c r="N205" s="52"/>
      <c r="P205" s="260"/>
      <c r="Q205" s="260"/>
      <c r="R205" s="260"/>
      <c r="S205" s="260"/>
      <c r="AR205" s="28"/>
      <c r="AV205" s="34">
        <v>2</v>
      </c>
      <c r="AW205" s="35" t="s">
        <v>378</v>
      </c>
      <c r="AZ205" s="34">
        <v>1</v>
      </c>
      <c r="BA205" s="35" t="s">
        <v>31</v>
      </c>
      <c r="BF205" s="469"/>
      <c r="BG205" s="470"/>
      <c r="BO205" s="28"/>
      <c r="BX205" s="28"/>
    </row>
    <row r="206" spans="3:80" ht="23.25" customHeight="1" thickBot="1" x14ac:dyDescent="0.3">
      <c r="H206" s="28"/>
      <c r="J206" s="37"/>
      <c r="L206" s="38"/>
      <c r="N206" s="52"/>
      <c r="P206" s="260"/>
      <c r="Q206" s="260"/>
      <c r="R206" s="260"/>
      <c r="S206" s="260"/>
      <c r="AR206" s="28"/>
      <c r="AV206" s="34">
        <v>3</v>
      </c>
      <c r="AW206" s="35" t="s">
        <v>65</v>
      </c>
      <c r="AZ206" s="34">
        <v>2</v>
      </c>
      <c r="BA206" s="35" t="s">
        <v>38</v>
      </c>
      <c r="BF206" s="471"/>
      <c r="BG206" s="472"/>
      <c r="BO206" s="28"/>
      <c r="BT206" s="51" t="str">
        <f>VLOOKUP(AV201,AZ211:BA216,2,FALSE)</f>
        <v>SEM ESCOLHA</v>
      </c>
      <c r="BX206" s="28"/>
    </row>
    <row r="207" spans="3:80" ht="23.25" customHeight="1" x14ac:dyDescent="0.25">
      <c r="H207" s="28"/>
      <c r="J207" s="37"/>
      <c r="L207" s="38"/>
      <c r="N207" s="52"/>
      <c r="P207" s="260"/>
      <c r="Q207" s="260"/>
      <c r="R207" s="260"/>
      <c r="S207" s="260"/>
      <c r="AR207" s="28"/>
      <c r="AV207" s="34">
        <v>4</v>
      </c>
      <c r="AW207" s="35" t="str">
        <f>IF(BF202=TRUE,AW216,AW215)</f>
        <v>APOIO FRONTAL</v>
      </c>
      <c r="AZ207" s="34">
        <v>3</v>
      </c>
      <c r="BA207" s="35" t="s">
        <v>30</v>
      </c>
      <c r="BO207" s="28"/>
      <c r="BX207" s="28"/>
    </row>
    <row r="208" spans="3:80" ht="23.25" customHeight="1" x14ac:dyDescent="0.25">
      <c r="H208" s="28"/>
      <c r="J208" s="37"/>
      <c r="L208" s="38"/>
      <c r="N208" s="52"/>
      <c r="P208" s="260"/>
      <c r="Q208" s="260"/>
      <c r="R208" s="260"/>
      <c r="S208" s="260"/>
      <c r="AR208" s="28"/>
      <c r="AV208" s="39">
        <v>5</v>
      </c>
      <c r="AW208" s="40" t="s">
        <v>25</v>
      </c>
      <c r="AZ208" s="39">
        <v>4</v>
      </c>
      <c r="BA208" s="40" t="s">
        <v>25</v>
      </c>
      <c r="BO208" s="28"/>
      <c r="BX208" s="28"/>
      <c r="BZ208" s="51" t="str">
        <f>IF(AV201=0,"",IF(AV211=TRUE,AV210,""))</f>
        <v/>
      </c>
    </row>
    <row r="209" spans="3:78" ht="23.25" customHeight="1" x14ac:dyDescent="0.25">
      <c r="H209" s="28"/>
      <c r="J209" s="37"/>
      <c r="L209" s="38"/>
      <c r="N209" s="52"/>
      <c r="P209" s="260"/>
      <c r="Q209" s="260"/>
      <c r="R209" s="260"/>
      <c r="S209" s="260"/>
      <c r="AR209" s="28"/>
      <c r="BO209" s="28"/>
      <c r="BX209" s="28"/>
    </row>
    <row r="210" spans="3:78" ht="23.25" customHeight="1" x14ac:dyDescent="0.25">
      <c r="H210" s="28"/>
      <c r="J210" s="37"/>
      <c r="L210" s="38"/>
      <c r="N210" s="52"/>
      <c r="P210" s="260"/>
      <c r="Q210" s="260"/>
      <c r="R210" s="260"/>
      <c r="S210" s="260"/>
      <c r="AR210" s="28"/>
      <c r="AV210" s="474" t="s">
        <v>142</v>
      </c>
      <c r="AW210" s="474"/>
      <c r="BO210" s="28"/>
      <c r="BX210" s="28"/>
    </row>
    <row r="211" spans="3:78" ht="21" customHeight="1" x14ac:dyDescent="0.25">
      <c r="H211" s="28"/>
      <c r="J211" s="475" t="s">
        <v>191</v>
      </c>
      <c r="K211" s="475"/>
      <c r="L211" s="475"/>
      <c r="M211" s="475"/>
      <c r="N211" s="475"/>
      <c r="P211" s="431" t="str">
        <f>IF(BF202=TRUE,BF204,"")</f>
        <v/>
      </c>
      <c r="Q211" s="431"/>
      <c r="R211" s="431"/>
      <c r="S211" s="431"/>
      <c r="AR211" s="28"/>
      <c r="AV211" s="473" t="b">
        <v>0</v>
      </c>
      <c r="AW211" s="473"/>
      <c r="AZ211" s="106">
        <v>0</v>
      </c>
      <c r="BA211" s="107" t="s">
        <v>25</v>
      </c>
      <c r="BO211" s="28"/>
      <c r="BX211" s="28"/>
    </row>
    <row r="212" spans="3:78" ht="19.5" customHeight="1" x14ac:dyDescent="0.25">
      <c r="H212" s="28"/>
      <c r="J212" s="475"/>
      <c r="K212" s="475"/>
      <c r="L212" s="475"/>
      <c r="M212" s="475"/>
      <c r="N212" s="475"/>
      <c r="P212" s="431"/>
      <c r="Q212" s="431"/>
      <c r="R212" s="431"/>
      <c r="S212" s="431"/>
      <c r="AR212" s="28"/>
      <c r="AZ212" s="106">
        <v>1</v>
      </c>
      <c r="BA212" s="107" t="s">
        <v>192</v>
      </c>
      <c r="BO212" s="28"/>
      <c r="BX212" s="28"/>
    </row>
    <row r="213" spans="3:78" x14ac:dyDescent="0.25">
      <c r="H213" s="28"/>
      <c r="P213" s="431"/>
      <c r="Q213" s="431"/>
      <c r="R213" s="431"/>
      <c r="S213" s="431"/>
      <c r="AR213" s="28"/>
      <c r="AZ213" s="106">
        <v>2</v>
      </c>
      <c r="BA213" s="107" t="s">
        <v>192</v>
      </c>
      <c r="BO213" s="28"/>
      <c r="BX213" s="28"/>
    </row>
    <row r="214" spans="3:78" x14ac:dyDescent="0.25">
      <c r="H214" s="28"/>
      <c r="P214" s="431"/>
      <c r="Q214" s="431"/>
      <c r="R214" s="431"/>
      <c r="S214" s="431"/>
      <c r="AR214" s="28"/>
      <c r="AZ214" s="106">
        <v>3</v>
      </c>
      <c r="BA214" s="107" t="s">
        <v>192</v>
      </c>
      <c r="BO214" s="28"/>
      <c r="BX214" s="28"/>
    </row>
    <row r="215" spans="3:78" x14ac:dyDescent="0.25">
      <c r="H215" s="28"/>
      <c r="AR215" s="28"/>
      <c r="AW215" s="35" t="s">
        <v>66</v>
      </c>
      <c r="AZ215" s="106">
        <v>4</v>
      </c>
      <c r="BA215" s="107" t="str">
        <f>BA202</f>
        <v>SEM ESCOLHA</v>
      </c>
      <c r="BO215" s="28"/>
      <c r="BX215" s="28"/>
    </row>
    <row r="216" spans="3:78" ht="15.75" customHeight="1" thickBot="1" x14ac:dyDescent="0.3">
      <c r="H216" s="28"/>
      <c r="J216" s="43" t="s">
        <v>90</v>
      </c>
      <c r="Y216" s="53"/>
      <c r="Z216" s="53"/>
      <c r="AA216" s="53"/>
      <c r="AB216" s="53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8"/>
      <c r="AW216" s="35" t="s">
        <v>225</v>
      </c>
      <c r="AZ216" s="106">
        <v>5</v>
      </c>
      <c r="BA216" s="107" t="s">
        <v>25</v>
      </c>
      <c r="BO216" s="28"/>
      <c r="BR216" s="29" t="s">
        <v>56</v>
      </c>
      <c r="BX216" s="28"/>
      <c r="BZ216" s="29" t="s">
        <v>56</v>
      </c>
    </row>
    <row r="217" spans="3:78" ht="35.25" customHeight="1" thickBot="1" x14ac:dyDescent="0.3">
      <c r="H217" s="28"/>
      <c r="J217" s="439" t="s">
        <v>91</v>
      </c>
      <c r="K217" s="439"/>
      <c r="L217" s="439"/>
      <c r="M217" s="439"/>
      <c r="N217" s="439"/>
      <c r="Y217" s="53"/>
      <c r="Z217" s="53"/>
      <c r="AA217" s="53"/>
      <c r="AB217" s="53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8"/>
      <c r="BO217" s="28"/>
      <c r="BR217" s="67" t="s">
        <v>91</v>
      </c>
      <c r="BX217" s="28"/>
      <c r="BZ217" s="68" t="str">
        <f>IF(J217=BR217,"",J217)</f>
        <v/>
      </c>
    </row>
    <row r="218" spans="3:78" x14ac:dyDescent="0.25">
      <c r="H218" s="28"/>
      <c r="AR218" s="28"/>
      <c r="BO218" s="28"/>
      <c r="BX218" s="28"/>
    </row>
    <row r="219" spans="3:78" s="28" customFormat="1" ht="8.25" customHeight="1" thickBot="1" x14ac:dyDescent="0.3"/>
    <row r="220" spans="3:78" x14ac:dyDescent="0.25">
      <c r="H220" s="28"/>
      <c r="J220" s="413" t="s">
        <v>110</v>
      </c>
      <c r="K220" s="413"/>
      <c r="L220" s="413"/>
      <c r="M220" s="459" t="s">
        <v>312</v>
      </c>
      <c r="N220" s="460"/>
      <c r="O220" s="460"/>
      <c r="P220" s="463" t="str">
        <f>'MONTE AQUI SUA CADEIRA DE RODAS'!$Q$39</f>
        <v xml:space="preserve"> SEM ESCOLHA     -     TAMANHO - 0</v>
      </c>
      <c r="Q220" s="463"/>
      <c r="R220" s="464"/>
      <c r="AR220" s="28"/>
      <c r="BO220" s="28"/>
      <c r="BX220" s="28"/>
    </row>
    <row r="221" spans="3:78" ht="24.75" customHeight="1" thickBot="1" x14ac:dyDescent="0.3">
      <c r="C221" s="455" t="s">
        <v>39</v>
      </c>
      <c r="D221" s="455"/>
      <c r="H221" s="28"/>
      <c r="J221" s="413"/>
      <c r="K221" s="413"/>
      <c r="L221" s="413"/>
      <c r="M221" s="461"/>
      <c r="N221" s="462"/>
      <c r="O221" s="462"/>
      <c r="P221" s="465"/>
      <c r="Q221" s="465"/>
      <c r="R221" s="466"/>
      <c r="T221" s="428"/>
      <c r="U221" s="428"/>
      <c r="V221" s="428"/>
      <c r="Y221" s="441"/>
      <c r="Z221" s="441"/>
      <c r="AR221" s="28"/>
      <c r="BO221" s="28"/>
      <c r="BX221" s="28"/>
    </row>
    <row r="222" spans="3:78" x14ac:dyDescent="0.25">
      <c r="C222" s="455"/>
      <c r="D222" s="455"/>
      <c r="H222" s="28"/>
      <c r="AR222" s="28"/>
      <c r="BO222" s="28"/>
      <c r="BX222" s="28"/>
    </row>
    <row r="223" spans="3:78" ht="24" customHeight="1" x14ac:dyDescent="0.25">
      <c r="H223" s="28"/>
      <c r="AR223" s="28"/>
      <c r="BO223" s="28"/>
      <c r="BX223" s="28"/>
    </row>
    <row r="224" spans="3:78" ht="24" customHeight="1" x14ac:dyDescent="0.25">
      <c r="H224" s="28"/>
      <c r="AR224" s="28"/>
      <c r="AV224" s="24">
        <v>6</v>
      </c>
      <c r="AW224" s="456" t="str">
        <f>VLOOKUP(AV224,AV226:AX231,2,FALSE)</f>
        <v>SEM ESCOLHA</v>
      </c>
      <c r="AX224" s="457"/>
      <c r="AZ224" s="24">
        <v>3</v>
      </c>
      <c r="BA224" s="31" t="str">
        <f>VLOOKUP(AZ224,AZ226:BA230,2,FALSE)</f>
        <v>SEM ESCOLHA</v>
      </c>
      <c r="BE224" s="24">
        <v>1</v>
      </c>
      <c r="BF224" s="31" t="str">
        <f>VLOOKUP(BE224,BE226:BF230,2,FALSE)</f>
        <v>PEQUENO</v>
      </c>
      <c r="BH224" s="34">
        <v>0</v>
      </c>
      <c r="BI224" s="40" t="s">
        <v>8</v>
      </c>
      <c r="BJ224" s="34" t="s">
        <v>25</v>
      </c>
      <c r="BO224" s="28"/>
      <c r="BX224" s="28"/>
    </row>
    <row r="225" spans="8:78" ht="24" customHeight="1" x14ac:dyDescent="0.25">
      <c r="H225" s="28"/>
      <c r="J225" s="37"/>
      <c r="L225" s="38"/>
      <c r="N225" s="52"/>
      <c r="P225" s="260"/>
      <c r="Q225" s="260"/>
      <c r="R225" s="260"/>
      <c r="S225"/>
      <c r="T225" s="28"/>
      <c r="U225" s="28"/>
      <c r="AR225" s="28"/>
      <c r="AZ225" s="410" t="s">
        <v>193</v>
      </c>
      <c r="BA225" s="410"/>
      <c r="BE225" s="410" t="s">
        <v>195</v>
      </c>
      <c r="BF225" s="410"/>
      <c r="BH225" s="34">
        <v>1</v>
      </c>
      <c r="BI225" s="108" t="s">
        <v>280</v>
      </c>
      <c r="BJ225" s="34" t="str">
        <f>BA232</f>
        <v>SEM ESCOLHA</v>
      </c>
      <c r="BO225" s="28"/>
      <c r="BX225" s="28"/>
      <c r="BZ225" s="51" t="str">
        <f>AW224</f>
        <v>SEM ESCOLHA</v>
      </c>
    </row>
    <row r="226" spans="8:78" ht="23.25" customHeight="1" x14ac:dyDescent="0.25">
      <c r="H226" s="28"/>
      <c r="J226" s="37"/>
      <c r="L226" s="38"/>
      <c r="N226" s="52"/>
      <c r="P226" s="260"/>
      <c r="Q226" s="260"/>
      <c r="R226" s="260"/>
      <c r="S226"/>
      <c r="T226" s="28"/>
      <c r="U226" s="28"/>
      <c r="AR226" s="28"/>
      <c r="AV226" s="34">
        <v>1</v>
      </c>
      <c r="AW226" s="419" t="s">
        <v>280</v>
      </c>
      <c r="AX226" s="420"/>
      <c r="AZ226" s="48">
        <v>0</v>
      </c>
      <c r="BA226" s="49" t="s">
        <v>8</v>
      </c>
      <c r="BE226" s="48">
        <v>0</v>
      </c>
      <c r="BF226" s="49" t="s">
        <v>8</v>
      </c>
      <c r="BH226" s="34">
        <v>2</v>
      </c>
      <c r="BI226" s="108" t="s">
        <v>101</v>
      </c>
      <c r="BJ226" s="34" t="str">
        <f>BF224</f>
        <v>PEQUENO</v>
      </c>
      <c r="BO226" s="28"/>
      <c r="BX226" s="28"/>
      <c r="BZ226" s="51" t="str">
        <f>IF(AV224=6,"",IF(AV224=0,"",BT228))</f>
        <v/>
      </c>
    </row>
    <row r="227" spans="8:78" ht="23.25" customHeight="1" x14ac:dyDescent="0.25">
      <c r="H227" s="28"/>
      <c r="J227" s="37"/>
      <c r="L227" s="38"/>
      <c r="N227" s="52"/>
      <c r="P227" s="260"/>
      <c r="Q227" s="260"/>
      <c r="R227" s="260"/>
      <c r="S227"/>
      <c r="T227" s="28"/>
      <c r="U227" s="28"/>
      <c r="AR227" s="28"/>
      <c r="AV227" s="34">
        <v>2</v>
      </c>
      <c r="AW227" s="419" t="s">
        <v>101</v>
      </c>
      <c r="AX227" s="420"/>
      <c r="AZ227" s="34">
        <v>1</v>
      </c>
      <c r="BA227" s="35" t="s">
        <v>31</v>
      </c>
      <c r="BE227" s="34">
        <v>1</v>
      </c>
      <c r="BF227" s="35" t="s">
        <v>31</v>
      </c>
      <c r="BH227" s="34">
        <v>3</v>
      </c>
      <c r="BI227" s="108" t="s">
        <v>68</v>
      </c>
      <c r="BJ227" s="34" t="str">
        <f>BF232</f>
        <v>GRANDE</v>
      </c>
      <c r="BO227" s="28"/>
      <c r="BX227" s="28"/>
    </row>
    <row r="228" spans="8:78" ht="23.25" customHeight="1" x14ac:dyDescent="0.25">
      <c r="H228" s="28"/>
      <c r="J228" s="37"/>
      <c r="L228" s="38"/>
      <c r="N228" s="52"/>
      <c r="P228" s="260"/>
      <c r="Q228" s="260"/>
      <c r="R228" s="260"/>
      <c r="S228"/>
      <c r="T228" s="28"/>
      <c r="U228" s="28"/>
      <c r="AR228" s="28"/>
      <c r="AV228" s="34">
        <v>3</v>
      </c>
      <c r="AW228" s="419" t="s">
        <v>68</v>
      </c>
      <c r="AX228" s="420"/>
      <c r="AZ228" s="34">
        <v>2</v>
      </c>
      <c r="BA228" s="35" t="s">
        <v>30</v>
      </c>
      <c r="BE228" s="34">
        <v>2</v>
      </c>
      <c r="BF228" s="35" t="s">
        <v>30</v>
      </c>
      <c r="BH228" s="34">
        <v>4</v>
      </c>
      <c r="BI228" s="108" t="s">
        <v>14</v>
      </c>
      <c r="BJ228" s="34" t="str">
        <f>BA224</f>
        <v>SEM ESCOLHA</v>
      </c>
      <c r="BO228" s="28"/>
      <c r="BT228" s="51" t="str">
        <f>VLOOKUP(AV224,BH224:BJ230,3,FALSE)</f>
        <v>SEM ESCOLHA</v>
      </c>
      <c r="BX228" s="28"/>
    </row>
    <row r="229" spans="8:78" ht="23.25" customHeight="1" x14ac:dyDescent="0.25">
      <c r="H229" s="28"/>
      <c r="J229" s="37"/>
      <c r="L229" s="38"/>
      <c r="N229" s="52"/>
      <c r="P229" s="260"/>
      <c r="Q229" s="260"/>
      <c r="R229" s="260"/>
      <c r="S229"/>
      <c r="T229" s="28"/>
      <c r="U229" s="28"/>
      <c r="AR229" s="28"/>
      <c r="AV229" s="34">
        <v>4</v>
      </c>
      <c r="AW229" s="419" t="s">
        <v>360</v>
      </c>
      <c r="AX229" s="420"/>
      <c r="AZ229" s="39">
        <v>3</v>
      </c>
      <c r="BA229" s="40" t="s">
        <v>25</v>
      </c>
      <c r="BE229" s="101">
        <v>3</v>
      </c>
      <c r="BF229" s="40" t="s">
        <v>25</v>
      </c>
      <c r="BH229" s="34">
        <v>5</v>
      </c>
      <c r="BI229" s="108" t="s">
        <v>363</v>
      </c>
      <c r="BJ229" s="34" t="str">
        <f>BI232</f>
        <v>PEQUENO</v>
      </c>
      <c r="BO229" s="28"/>
      <c r="BX229" s="28"/>
    </row>
    <row r="230" spans="8:78" ht="23.25" customHeight="1" x14ac:dyDescent="0.25">
      <c r="H230" s="28"/>
      <c r="J230" s="37"/>
      <c r="L230" s="38"/>
      <c r="N230" s="52"/>
      <c r="P230" s="260"/>
      <c r="Q230" s="260"/>
      <c r="R230" s="260"/>
      <c r="S230"/>
      <c r="T230" s="28"/>
      <c r="U230" s="28"/>
      <c r="AR230" s="28"/>
      <c r="AV230" s="34">
        <v>5</v>
      </c>
      <c r="AW230" s="419" t="s">
        <v>361</v>
      </c>
      <c r="AX230" s="420"/>
      <c r="BH230" s="34">
        <v>6</v>
      </c>
      <c r="BI230" s="40" t="s">
        <v>25</v>
      </c>
      <c r="BJ230" s="34" t="s">
        <v>25</v>
      </c>
      <c r="BO230" s="28"/>
      <c r="BX230" s="28"/>
    </row>
    <row r="231" spans="8:78" ht="23.25" customHeight="1" x14ac:dyDescent="0.25">
      <c r="H231" s="28"/>
      <c r="J231" s="37"/>
      <c r="L231" s="38"/>
      <c r="N231" s="52"/>
      <c r="P231" s="260"/>
      <c r="Q231" s="260"/>
      <c r="R231" s="260"/>
      <c r="S231"/>
      <c r="T231" s="28"/>
      <c r="U231" s="28"/>
      <c r="AR231" s="28"/>
      <c r="AV231" s="289">
        <v>6</v>
      </c>
      <c r="AW231" s="448" t="s">
        <v>25</v>
      </c>
      <c r="AX231" s="449"/>
      <c r="BO231" s="28"/>
      <c r="BX231" s="28"/>
    </row>
    <row r="232" spans="8:78" ht="23.25" customHeight="1" x14ac:dyDescent="0.25">
      <c r="H232" s="28"/>
      <c r="J232" s="37"/>
      <c r="L232" s="38"/>
      <c r="N232" s="52"/>
      <c r="P232" s="260"/>
      <c r="Q232" s="260"/>
      <c r="R232" s="260"/>
      <c r="S232"/>
      <c r="T232" s="28"/>
      <c r="U232" s="28"/>
      <c r="AR232" s="28"/>
      <c r="AZ232" s="24">
        <v>3</v>
      </c>
      <c r="BA232" s="31" t="str">
        <f>VLOOKUP(AZ232,AZ234:BA238,2,FALSE)</f>
        <v>SEM ESCOLHA</v>
      </c>
      <c r="BE232" s="24">
        <v>2</v>
      </c>
      <c r="BF232" s="31" t="str">
        <f>VLOOKUP(BE232,BE234:BF237,2,FALSE)</f>
        <v>GRANDE</v>
      </c>
      <c r="BH232" s="24">
        <v>1</v>
      </c>
      <c r="BI232" s="31" t="str">
        <f>VLOOKUP(BH232,BH234:BI237,2,FALSE)</f>
        <v>PEQUENO</v>
      </c>
      <c r="BO232" s="28"/>
      <c r="BX232" s="28"/>
    </row>
    <row r="233" spans="8:78" ht="21" customHeight="1" x14ac:dyDescent="0.25">
      <c r="H233" s="28"/>
      <c r="AR233" s="28"/>
      <c r="AZ233" s="410" t="s">
        <v>194</v>
      </c>
      <c r="BA233" s="410"/>
      <c r="BE233" s="410" t="s">
        <v>196</v>
      </c>
      <c r="BF233" s="410"/>
      <c r="BH233" s="410" t="s">
        <v>362</v>
      </c>
      <c r="BI233" s="410"/>
      <c r="BO233" s="28"/>
      <c r="BX233" s="28"/>
    </row>
    <row r="234" spans="8:78" ht="19.5" customHeight="1" x14ac:dyDescent="0.25">
      <c r="H234" s="28"/>
      <c r="AR234" s="28"/>
      <c r="AZ234" s="48">
        <v>0</v>
      </c>
      <c r="BA234" s="49" t="s">
        <v>8</v>
      </c>
      <c r="BE234" s="48">
        <v>0</v>
      </c>
      <c r="BF234" s="49" t="s">
        <v>8</v>
      </c>
      <c r="BH234" s="48">
        <v>0</v>
      </c>
      <c r="BI234" s="49" t="s">
        <v>8</v>
      </c>
      <c r="BO234" s="28"/>
      <c r="BX234" s="28"/>
    </row>
    <row r="235" spans="8:78" x14ac:dyDescent="0.25">
      <c r="H235" s="28"/>
      <c r="AR235" s="28"/>
      <c r="AZ235" s="34">
        <v>1</v>
      </c>
      <c r="BA235" s="35" t="s">
        <v>31</v>
      </c>
      <c r="BE235" s="34">
        <v>1</v>
      </c>
      <c r="BF235" s="35" t="s">
        <v>31</v>
      </c>
      <c r="BH235" s="34">
        <v>1</v>
      </c>
      <c r="BI235" s="35" t="s">
        <v>31</v>
      </c>
      <c r="BO235" s="28"/>
      <c r="BX235" s="28"/>
    </row>
    <row r="236" spans="8:78" x14ac:dyDescent="0.25">
      <c r="H236" s="28"/>
      <c r="AR236" s="28"/>
      <c r="AZ236" s="34">
        <v>2</v>
      </c>
      <c r="BA236" s="35" t="s">
        <v>30</v>
      </c>
      <c r="BE236" s="34">
        <v>2</v>
      </c>
      <c r="BF236" s="35" t="s">
        <v>30</v>
      </c>
      <c r="BH236" s="34">
        <v>2</v>
      </c>
      <c r="BI236" s="35" t="s">
        <v>30</v>
      </c>
      <c r="BO236" s="28"/>
      <c r="BX236" s="28"/>
    </row>
    <row r="237" spans="8:78" x14ac:dyDescent="0.25">
      <c r="H237" s="28"/>
      <c r="AR237" s="28"/>
      <c r="AZ237" s="101">
        <v>3</v>
      </c>
      <c r="BA237" s="40" t="s">
        <v>25</v>
      </c>
      <c r="BE237" s="101">
        <v>3</v>
      </c>
      <c r="BF237" s="40" t="s">
        <v>25</v>
      </c>
      <c r="BH237" s="289">
        <v>3</v>
      </c>
      <c r="BI237" s="40" t="s">
        <v>25</v>
      </c>
      <c r="BO237" s="28"/>
      <c r="BX237" s="28"/>
    </row>
    <row r="238" spans="8:78" ht="15.75" thickBot="1" x14ac:dyDescent="0.3">
      <c r="H238" s="28"/>
      <c r="J238" s="43" t="s">
        <v>90</v>
      </c>
      <c r="Y238" s="53"/>
      <c r="Z238" s="53"/>
      <c r="AA238" s="53"/>
      <c r="AB238" s="53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256"/>
      <c r="AQ238" s="256"/>
      <c r="AR238" s="28"/>
      <c r="BO238" s="28"/>
      <c r="BR238" s="29" t="s">
        <v>56</v>
      </c>
      <c r="BX238" s="28"/>
      <c r="BZ238" s="29" t="s">
        <v>56</v>
      </c>
    </row>
    <row r="239" spans="8:78" ht="35.25" customHeight="1" thickBot="1" x14ac:dyDescent="0.3">
      <c r="H239" s="28"/>
      <c r="J239" s="439" t="s">
        <v>91</v>
      </c>
      <c r="K239" s="439"/>
      <c r="L239" s="439"/>
      <c r="M239" s="439"/>
      <c r="N239" s="439"/>
      <c r="Y239" s="53"/>
      <c r="Z239" s="53"/>
      <c r="AA239" s="53"/>
      <c r="AB239" s="53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8"/>
      <c r="BO239" s="28"/>
      <c r="BR239" s="67" t="s">
        <v>91</v>
      </c>
      <c r="BX239" s="28"/>
      <c r="BZ239" s="68" t="str">
        <f>IF(J239=BR239,"",J239)</f>
        <v/>
      </c>
    </row>
    <row r="240" spans="8:78" x14ac:dyDescent="0.25">
      <c r="H240" s="28"/>
      <c r="AR240" s="28"/>
      <c r="BO240" s="28"/>
      <c r="BX240" s="28"/>
    </row>
    <row r="241" spans="3:78" s="28" customFormat="1" ht="8.25" customHeight="1" x14ac:dyDescent="0.25"/>
    <row r="242" spans="3:78" x14ac:dyDescent="0.25">
      <c r="H242" s="28"/>
      <c r="J242" s="413" t="s">
        <v>111</v>
      </c>
      <c r="K242" s="413"/>
      <c r="L242" s="413"/>
      <c r="AR242" s="28"/>
      <c r="BO242" s="28"/>
      <c r="BX242" s="28"/>
    </row>
    <row r="243" spans="3:78" ht="24.75" customHeight="1" x14ac:dyDescent="0.25">
      <c r="C243" s="455" t="s">
        <v>39</v>
      </c>
      <c r="D243" s="455"/>
      <c r="H243" s="28"/>
      <c r="J243" s="413"/>
      <c r="K243" s="413"/>
      <c r="L243" s="413"/>
      <c r="T243" s="428"/>
      <c r="U243" s="428"/>
      <c r="V243" s="428"/>
      <c r="Z243" s="429"/>
      <c r="AA243" s="429"/>
      <c r="AR243" s="28"/>
      <c r="BO243" s="28"/>
      <c r="BR243" s="51" t="str">
        <f>IF(AV245=FALSE,"",AV244)</f>
        <v/>
      </c>
      <c r="BX243" s="28"/>
      <c r="BZ243" s="51" t="str">
        <f>IF(AV248=TRUE,"FIXAÇÃO EXTRA :","")</f>
        <v/>
      </c>
    </row>
    <row r="244" spans="3:78" x14ac:dyDescent="0.25">
      <c r="C244" s="455"/>
      <c r="D244" s="455"/>
      <c r="H244" s="28"/>
      <c r="AR244" s="28"/>
      <c r="AV244" s="424" t="s">
        <v>34</v>
      </c>
      <c r="AW244" s="424"/>
      <c r="BO244" s="28"/>
      <c r="BX244" s="28"/>
      <c r="BZ244" s="51" t="str">
        <f>IF(AV248=TRUE,AV247,"")</f>
        <v/>
      </c>
    </row>
    <row r="245" spans="3:78" ht="30" customHeight="1" x14ac:dyDescent="0.25">
      <c r="H245" s="28"/>
      <c r="AR245" s="28"/>
      <c r="AV245" s="425" t="b">
        <v>0</v>
      </c>
      <c r="AW245" s="426"/>
      <c r="AZ245" s="424" t="s">
        <v>175</v>
      </c>
      <c r="BA245" s="424"/>
      <c r="BE245" s="424" t="s">
        <v>175</v>
      </c>
      <c r="BF245" s="424"/>
      <c r="BH245" s="24">
        <v>5</v>
      </c>
      <c r="BI245" s="31" t="str">
        <f>VLOOKUP(BH245,BH247:BI252,2,FALSE)</f>
        <v>SEM ESCOLHA</v>
      </c>
      <c r="BO245" s="28"/>
      <c r="BX245" s="28"/>
      <c r="BZ245" s="25" t="s">
        <v>228</v>
      </c>
    </row>
    <row r="246" spans="3:78" ht="23.25" customHeight="1" x14ac:dyDescent="0.25">
      <c r="H246" s="28"/>
      <c r="N246" s="52"/>
      <c r="P246" s="37"/>
      <c r="Q246" s="37"/>
      <c r="T246" s="57"/>
      <c r="U246" s="57"/>
      <c r="W246" s="446" t="s">
        <v>283</v>
      </c>
      <c r="X246" s="446"/>
      <c r="Y246" s="446"/>
      <c r="AC246" s="282"/>
      <c r="AD246" s="282"/>
      <c r="AE246" s="282"/>
      <c r="AF246" s="282"/>
      <c r="AR246" s="28"/>
      <c r="AZ246" s="24">
        <v>3</v>
      </c>
      <c r="BA246" s="31" t="str">
        <f>VLOOKUP(AZ246,AZ248:BA251,2,FALSE)</f>
        <v>SEM CINTO</v>
      </c>
      <c r="BE246" s="24">
        <v>1</v>
      </c>
      <c r="BF246" s="31" t="str">
        <f>VLOOKUP(BE246,BE248:BF251,2,FALSE)</f>
        <v>SIMPLES</v>
      </c>
      <c r="BH246" s="410" t="s">
        <v>226</v>
      </c>
      <c r="BI246" s="410"/>
      <c r="BL246" s="51" t="str">
        <f>IF(AV248=FALSE,"",AV247)</f>
        <v/>
      </c>
      <c r="BO246" s="28"/>
      <c r="BR246" s="51" t="str">
        <f>IF(BL246="","",IF(AND(AZ246=3,AV248=TRUE),"FALTA TAMANHO",AV247))</f>
        <v/>
      </c>
      <c r="BX246" s="28"/>
    </row>
    <row r="247" spans="3:78" ht="23.25" customHeight="1" x14ac:dyDescent="0.25">
      <c r="H247" s="28"/>
      <c r="N247" s="52"/>
      <c r="P247" s="37"/>
      <c r="Q247" s="37"/>
      <c r="T247" s="57"/>
      <c r="U247" s="57"/>
      <c r="W247" s="162"/>
      <c r="X247" s="162"/>
      <c r="Y247" s="162"/>
      <c r="AC247" s="282"/>
      <c r="AD247" s="282"/>
      <c r="AE247" s="282"/>
      <c r="AF247" s="282"/>
      <c r="AR247" s="28"/>
      <c r="AV247" s="427" t="s">
        <v>121</v>
      </c>
      <c r="AW247" s="427"/>
      <c r="BH247" s="48">
        <v>0</v>
      </c>
      <c r="BI247" s="49" t="s">
        <v>8</v>
      </c>
      <c r="BO247" s="28"/>
      <c r="BX247" s="28"/>
    </row>
    <row r="248" spans="3:78" ht="35.25" customHeight="1" x14ac:dyDescent="0.25">
      <c r="H248" s="28"/>
      <c r="N248" s="52"/>
      <c r="P248" s="37"/>
      <c r="Q248" s="37"/>
      <c r="T248" s="57"/>
      <c r="U248" s="57"/>
      <c r="W248" s="162"/>
      <c r="X248" s="162"/>
      <c r="Y248" s="162"/>
      <c r="AC248" s="282"/>
      <c r="AD248" s="282"/>
      <c r="AE248" s="282"/>
      <c r="AF248" s="282"/>
      <c r="AR248" s="28"/>
      <c r="AV248" s="425" t="b">
        <v>0</v>
      </c>
      <c r="AW248" s="426"/>
      <c r="AZ248" s="48">
        <v>0</v>
      </c>
      <c r="BA248" s="49" t="s">
        <v>8</v>
      </c>
      <c r="BE248" s="48">
        <v>0</v>
      </c>
      <c r="BF248" s="40" t="s">
        <v>25</v>
      </c>
      <c r="BH248" s="34">
        <v>1</v>
      </c>
      <c r="BI248" s="35" t="s">
        <v>71</v>
      </c>
      <c r="BL248" s="51" t="str">
        <f>BI245</f>
        <v>SEM ESCOLHA</v>
      </c>
      <c r="BO248" s="28"/>
      <c r="BR248" s="51" t="str">
        <f>IF(BL248="","",IF(AND(AZ246=3,BH245&lt;3),"FALTA TAMANHO",BL248))</f>
        <v>SEM ESCOLHA</v>
      </c>
      <c r="BT248" s="51" t="str">
        <f>BI245</f>
        <v>SEM ESCOLHA</v>
      </c>
      <c r="BX248" s="28"/>
      <c r="BZ248" s="51" t="str">
        <f>IF(BT251="SEM CINTO",BT251,BT248)</f>
        <v>SEM CINTO</v>
      </c>
    </row>
    <row r="249" spans="3:78" ht="23.25" customHeight="1" x14ac:dyDescent="0.25">
      <c r="H249" s="28"/>
      <c r="N249" s="52"/>
      <c r="P249" s="37"/>
      <c r="Q249" s="37"/>
      <c r="T249" s="57"/>
      <c r="U249" s="57"/>
      <c r="W249" s="162"/>
      <c r="X249" s="162"/>
      <c r="Y249" s="162"/>
      <c r="AC249" s="282"/>
      <c r="AD249" s="282"/>
      <c r="AE249" s="282"/>
      <c r="AF249" s="282"/>
      <c r="AR249" s="28"/>
      <c r="AZ249" s="34">
        <v>1</v>
      </c>
      <c r="BA249" s="35" t="s">
        <v>176</v>
      </c>
      <c r="BE249" s="34">
        <v>1</v>
      </c>
      <c r="BF249" s="35" t="s">
        <v>286</v>
      </c>
      <c r="BH249" s="34">
        <v>2</v>
      </c>
      <c r="BI249" s="35" t="s">
        <v>34</v>
      </c>
      <c r="BO249" s="28"/>
      <c r="BX249" s="28"/>
    </row>
    <row r="250" spans="3:78" ht="15.75" customHeight="1" x14ac:dyDescent="0.25">
      <c r="H250" s="28"/>
      <c r="N250" s="52"/>
      <c r="P250" s="37"/>
      <c r="Q250" s="37"/>
      <c r="T250" s="57"/>
      <c r="U250" s="57"/>
      <c r="W250" s="162"/>
      <c r="X250" s="162"/>
      <c r="Y250" s="162"/>
      <c r="AC250" s="282"/>
      <c r="AD250" s="282"/>
      <c r="AE250" s="282"/>
      <c r="AF250" s="282"/>
      <c r="AR250" s="28"/>
      <c r="AZ250" s="34">
        <v>2</v>
      </c>
      <c r="BA250" s="35" t="s">
        <v>177</v>
      </c>
      <c r="BE250" s="34">
        <v>2</v>
      </c>
      <c r="BF250" s="35" t="s">
        <v>287</v>
      </c>
      <c r="BH250" s="34">
        <v>3</v>
      </c>
      <c r="BI250" s="35" t="str">
        <f>CONCATENATE("CINTO CAMISETA  -  ",BF246)</f>
        <v>CINTO CAMISETA  -  SIMPLES</v>
      </c>
      <c r="BO250" s="28"/>
      <c r="BX250" s="28"/>
    </row>
    <row r="251" spans="3:78" ht="33.75" customHeight="1" x14ac:dyDescent="0.25">
      <c r="H251" s="28"/>
      <c r="N251" s="52"/>
      <c r="P251" s="37"/>
      <c r="Q251" s="37"/>
      <c r="T251" s="57"/>
      <c r="U251" s="57"/>
      <c r="W251" s="162"/>
      <c r="X251" s="162"/>
      <c r="Y251" s="162"/>
      <c r="AC251" s="282"/>
      <c r="AD251" s="282"/>
      <c r="AE251" s="282"/>
      <c r="AF251" s="282"/>
      <c r="AR251" s="28"/>
      <c r="AV251" s="424" t="s">
        <v>71</v>
      </c>
      <c r="AW251" s="424"/>
      <c r="AZ251" s="85">
        <v>3</v>
      </c>
      <c r="BA251" s="40" t="s">
        <v>178</v>
      </c>
      <c r="BE251" s="257">
        <v>3</v>
      </c>
      <c r="BF251" s="40" t="s">
        <v>25</v>
      </c>
      <c r="BH251" s="34">
        <v>4</v>
      </c>
      <c r="BI251" s="35" t="s">
        <v>285</v>
      </c>
      <c r="BO251" s="28"/>
      <c r="BT251" s="51" t="str">
        <f>BA246</f>
        <v>SEM CINTO</v>
      </c>
      <c r="BX251" s="28"/>
      <c r="BZ251" s="51" t="str">
        <f>BA246</f>
        <v>SEM CINTO</v>
      </c>
    </row>
    <row r="252" spans="3:78" ht="23.25" customHeight="1" x14ac:dyDescent="0.25">
      <c r="H252" s="28"/>
      <c r="N252" s="52"/>
      <c r="P252" s="37"/>
      <c r="Q252" s="37"/>
      <c r="T252" s="57"/>
      <c r="U252" s="57"/>
      <c r="W252" s="162"/>
      <c r="X252" s="162"/>
      <c r="Y252" s="162"/>
      <c r="AC252" s="282"/>
      <c r="AD252" s="282"/>
      <c r="AE252" s="282"/>
      <c r="AF252" s="282"/>
      <c r="AR252" s="28"/>
      <c r="AV252" s="425" t="b">
        <v>1</v>
      </c>
      <c r="AW252" s="426"/>
      <c r="BH252" s="151">
        <v>5</v>
      </c>
      <c r="BI252" s="40" t="s">
        <v>25</v>
      </c>
      <c r="BO252" s="28"/>
      <c r="BX252" s="28"/>
    </row>
    <row r="253" spans="3:78" ht="17.25" customHeight="1" x14ac:dyDescent="0.25">
      <c r="H253" s="28"/>
      <c r="N253" s="52"/>
      <c r="P253" s="37"/>
      <c r="Q253" s="37"/>
      <c r="T253" s="57"/>
      <c r="U253" s="57"/>
      <c r="W253" s="447" t="s">
        <v>284</v>
      </c>
      <c r="X253" s="447"/>
      <c r="Y253" s="447"/>
      <c r="AC253" s="282"/>
      <c r="AD253" s="282"/>
      <c r="AE253" s="282"/>
      <c r="AF253" s="282"/>
      <c r="AR253" s="28"/>
      <c r="BO253" s="28"/>
      <c r="BX253" s="28"/>
    </row>
    <row r="254" spans="3:78" x14ac:dyDescent="0.25">
      <c r="H254" s="28"/>
      <c r="AR254" s="28"/>
      <c r="BO254" s="28"/>
      <c r="BX254" s="28"/>
    </row>
    <row r="255" spans="3:78" ht="15.75" thickBot="1" x14ac:dyDescent="0.3">
      <c r="H255" s="28"/>
      <c r="J255" s="43" t="s">
        <v>90</v>
      </c>
      <c r="Y255" s="53"/>
      <c r="Z255" s="53"/>
      <c r="AA255" s="53"/>
      <c r="AB255" s="53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8"/>
      <c r="BH255" s="51"/>
      <c r="BI255" s="51" t="s">
        <v>178</v>
      </c>
      <c r="BO255" s="28"/>
      <c r="BR255" s="29" t="s">
        <v>56</v>
      </c>
      <c r="BX255" s="28"/>
      <c r="BZ255" s="29" t="s">
        <v>56</v>
      </c>
    </row>
    <row r="256" spans="3:78" ht="35.25" customHeight="1" thickBot="1" x14ac:dyDescent="0.3">
      <c r="H256" s="28"/>
      <c r="J256" s="439" t="s">
        <v>91</v>
      </c>
      <c r="K256" s="439"/>
      <c r="L256" s="439"/>
      <c r="M256" s="439"/>
      <c r="N256" s="439"/>
      <c r="Y256" s="53"/>
      <c r="Z256" s="53"/>
      <c r="AA256" s="53"/>
      <c r="AB256" s="53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256"/>
      <c r="AQ256" s="256"/>
      <c r="AR256" s="28"/>
      <c r="BH256" s="51"/>
      <c r="BI256" s="51" t="s">
        <v>25</v>
      </c>
      <c r="BO256" s="28"/>
      <c r="BR256" s="67" t="s">
        <v>91</v>
      </c>
      <c r="BX256" s="28"/>
      <c r="BZ256" s="68" t="str">
        <f>IF(J256=BR256,"",J256)</f>
        <v/>
      </c>
    </row>
    <row r="257" spans="3:80" x14ac:dyDescent="0.25">
      <c r="H257" s="28"/>
      <c r="AR257" s="28"/>
      <c r="BO257" s="28"/>
      <c r="BX257" s="28"/>
    </row>
    <row r="258" spans="3:80" s="28" customFormat="1" ht="8.25" customHeight="1" x14ac:dyDescent="0.25"/>
    <row r="259" spans="3:80" x14ac:dyDescent="0.25">
      <c r="H259" s="28"/>
      <c r="J259" s="413" t="s">
        <v>112</v>
      </c>
      <c r="K259" s="413"/>
      <c r="L259" s="413"/>
      <c r="AR259" s="28"/>
      <c r="BO259" s="28"/>
      <c r="BS259"/>
      <c r="BT259"/>
      <c r="BX259" s="28"/>
    </row>
    <row r="260" spans="3:80" ht="24.75" customHeight="1" x14ac:dyDescent="0.25">
      <c r="C260" s="455" t="s">
        <v>39</v>
      </c>
      <c r="D260" s="455"/>
      <c r="H260" s="28"/>
      <c r="J260" s="413"/>
      <c r="K260" s="413"/>
      <c r="L260" s="413"/>
      <c r="T260" s="428"/>
      <c r="U260" s="428"/>
      <c r="V260" s="428"/>
      <c r="Z260" s="429"/>
      <c r="AA260" s="429"/>
      <c r="AR260" s="28"/>
      <c r="AV260"/>
      <c r="AW260"/>
      <c r="BO260" s="28"/>
      <c r="BR260" s="51" t="str">
        <f>IF(AND(BE264=3,BH262&lt;5),"FALTA TAMANHO",CONCATENATE(BI262,"  ",CB260))</f>
        <v xml:space="preserve">FALTA ESCOLHER  </v>
      </c>
      <c r="BX260" s="28"/>
      <c r="CA260"/>
      <c r="CB260" s="51" t="str">
        <f>IF(BH262=1,BR265,"")</f>
        <v/>
      </c>
    </row>
    <row r="261" spans="3:80" x14ac:dyDescent="0.25">
      <c r="C261" s="455"/>
      <c r="D261" s="455"/>
      <c r="H261" s="28"/>
      <c r="AR261" s="28"/>
      <c r="AV261"/>
      <c r="AW261"/>
      <c r="BO261" s="28"/>
      <c r="BX261" s="28"/>
      <c r="CA261"/>
      <c r="CB261"/>
    </row>
    <row r="262" spans="3:80" ht="39.75" customHeight="1" x14ac:dyDescent="0.25">
      <c r="H262" s="28"/>
      <c r="AR262" s="28"/>
      <c r="AV262"/>
      <c r="AW262"/>
      <c r="BH262" s="24">
        <v>7</v>
      </c>
      <c r="BI262" s="31" t="str">
        <f>VLOOKUP(BH262,BH264:BI271,2,FALSE)</f>
        <v>FALTA ESCOLHER</v>
      </c>
      <c r="BO262" s="28"/>
      <c r="BX262" s="28"/>
      <c r="CA262"/>
      <c r="CB262"/>
    </row>
    <row r="263" spans="3:80" ht="23.25" customHeight="1" x14ac:dyDescent="0.25">
      <c r="H263" s="28"/>
      <c r="L263" s="37"/>
      <c r="N263" s="52"/>
      <c r="P263" s="65"/>
      <c r="Q263" s="280"/>
      <c r="R263"/>
      <c r="S263" s="283"/>
      <c r="T263" s="283"/>
      <c r="U263" s="283"/>
      <c r="V263"/>
      <c r="W263" s="28"/>
      <c r="X263" s="28"/>
      <c r="Y263"/>
      <c r="Z263" s="311"/>
      <c r="AA263" s="311"/>
      <c r="AB263" s="52"/>
      <c r="AC263" s="52"/>
      <c r="AD263" s="52"/>
      <c r="AF263" s="282"/>
      <c r="AG263" s="282"/>
      <c r="AH263" s="312"/>
      <c r="AI263"/>
      <c r="AR263" s="28"/>
      <c r="AV263"/>
      <c r="AW263"/>
      <c r="AZ263" s="424" t="s">
        <v>33</v>
      </c>
      <c r="BA263" s="424"/>
      <c r="BE263" s="424" t="s">
        <v>175</v>
      </c>
      <c r="BF263" s="424"/>
      <c r="BH263" s="410" t="s">
        <v>226</v>
      </c>
      <c r="BI263" s="410"/>
      <c r="BO263" s="28"/>
      <c r="BR263" s="51" t="str">
        <f>BF264</f>
        <v>SEM CINTO</v>
      </c>
      <c r="BU263" s="25" t="s">
        <v>197</v>
      </c>
      <c r="BX263" s="28"/>
      <c r="CA263"/>
      <c r="CB263"/>
    </row>
    <row r="264" spans="3:80" ht="23.25" customHeight="1" x14ac:dyDescent="0.25">
      <c r="H264" s="28"/>
      <c r="L264" s="37"/>
      <c r="N264" s="52"/>
      <c r="P264" s="65"/>
      <c r="Q264" s="280"/>
      <c r="R264"/>
      <c r="S264" s="283"/>
      <c r="T264" s="283"/>
      <c r="U264" s="283"/>
      <c r="V264"/>
      <c r="W264" s="28"/>
      <c r="X264" s="28"/>
      <c r="Y264"/>
      <c r="Z264" s="311"/>
      <c r="AA264" s="311"/>
      <c r="AB264" s="52"/>
      <c r="AC264" s="52"/>
      <c r="AD264" s="52"/>
      <c r="AF264" s="282"/>
      <c r="AG264" s="282"/>
      <c r="AH264" s="312"/>
      <c r="AI264"/>
      <c r="AR264" s="28"/>
      <c r="AV264"/>
      <c r="AW264"/>
      <c r="AZ264" s="24">
        <v>3</v>
      </c>
      <c r="BA264" s="31" t="str">
        <f>VLOOKUP(AZ264,AZ266:BA269,2,FALSE)</f>
        <v>SEM ESCOLHA</v>
      </c>
      <c r="BE264" s="24">
        <v>3</v>
      </c>
      <c r="BF264" s="31" t="str">
        <f>VLOOKUP(BE264,BE266:BF269,2,FALSE)</f>
        <v>SEM CINTO</v>
      </c>
      <c r="BH264" s="48">
        <v>0</v>
      </c>
      <c r="BI264" s="49" t="s">
        <v>8</v>
      </c>
      <c r="BO264" s="28"/>
      <c r="BX264" s="28"/>
      <c r="CA264"/>
      <c r="CB264"/>
    </row>
    <row r="265" spans="3:80" ht="23.25" customHeight="1" x14ac:dyDescent="0.25">
      <c r="H265" s="28"/>
      <c r="L265" s="37"/>
      <c r="N265" s="52"/>
      <c r="P265" s="65"/>
      <c r="Q265" s="280"/>
      <c r="R265"/>
      <c r="S265" s="283"/>
      <c r="T265" s="283"/>
      <c r="U265" s="283"/>
      <c r="V265"/>
      <c r="W265" s="28"/>
      <c r="X265" s="28"/>
      <c r="Y265"/>
      <c r="Z265" s="311"/>
      <c r="AA265" s="311"/>
      <c r="AB265" s="52"/>
      <c r="AC265" s="52"/>
      <c r="AD265" s="52"/>
      <c r="AF265" s="282"/>
      <c r="AG265" s="282"/>
      <c r="AH265" s="312"/>
      <c r="AI265"/>
      <c r="AR265" s="28"/>
      <c r="AV265"/>
      <c r="AW265"/>
      <c r="BH265" s="34">
        <v>1</v>
      </c>
      <c r="BI265" s="35" t="s">
        <v>227</v>
      </c>
      <c r="BO265" s="28"/>
      <c r="BR265" s="51" t="str">
        <f>IF(BR270="FALTA TAMANHO","",BA264)</f>
        <v>SEM ESCOLHA</v>
      </c>
      <c r="BX265" s="28"/>
      <c r="CA265"/>
      <c r="CB265"/>
    </row>
    <row r="266" spans="3:80" ht="23.25" customHeight="1" x14ac:dyDescent="0.25">
      <c r="H266" s="28"/>
      <c r="L266" s="37"/>
      <c r="N266" s="52"/>
      <c r="P266" s="65"/>
      <c r="Q266" s="280"/>
      <c r="R266"/>
      <c r="S266" s="283"/>
      <c r="T266" s="283"/>
      <c r="U266" s="283"/>
      <c r="V266"/>
      <c r="W266" s="28"/>
      <c r="X266" s="28"/>
      <c r="Y266"/>
      <c r="Z266" s="311"/>
      <c r="AA266" s="311"/>
      <c r="AB266" s="52"/>
      <c r="AC266" s="52"/>
      <c r="AD266" s="52"/>
      <c r="AF266" s="282"/>
      <c r="AG266" s="282"/>
      <c r="AH266" s="312"/>
      <c r="AI266"/>
      <c r="AR266" s="28"/>
      <c r="AV266"/>
      <c r="AW266"/>
      <c r="AZ266" s="48">
        <v>0</v>
      </c>
      <c r="BA266" s="49" t="s">
        <v>8</v>
      </c>
      <c r="BE266" s="48">
        <v>0</v>
      </c>
      <c r="BF266" s="49" t="s">
        <v>8</v>
      </c>
      <c r="BH266" s="34">
        <v>2</v>
      </c>
      <c r="BI266" s="35" t="s">
        <v>123</v>
      </c>
      <c r="BO266" s="28"/>
      <c r="BX266" s="28"/>
      <c r="CA266"/>
      <c r="CB266"/>
    </row>
    <row r="267" spans="3:80" ht="23.25" customHeight="1" x14ac:dyDescent="0.25">
      <c r="H267" s="28"/>
      <c r="L267" s="37"/>
      <c r="N267" s="52"/>
      <c r="P267" s="65"/>
      <c r="Q267" s="280"/>
      <c r="R267"/>
      <c r="S267" s="283"/>
      <c r="T267" s="283"/>
      <c r="U267" s="283"/>
      <c r="V267"/>
      <c r="W267" s="28"/>
      <c r="X267" s="28"/>
      <c r="Y267"/>
      <c r="Z267" s="311"/>
      <c r="AA267" s="311"/>
      <c r="AB267" s="52"/>
      <c r="AC267" s="52"/>
      <c r="AD267" s="52"/>
      <c r="AF267" s="282"/>
      <c r="AG267" s="282"/>
      <c r="AH267" s="312"/>
      <c r="AI267"/>
      <c r="AR267" s="28"/>
      <c r="AV267"/>
      <c r="AW267"/>
      <c r="AZ267" s="34">
        <v>1</v>
      </c>
      <c r="BA267" s="35" t="s">
        <v>143</v>
      </c>
      <c r="BE267" s="34">
        <v>1</v>
      </c>
      <c r="BF267" s="35" t="s">
        <v>176</v>
      </c>
      <c r="BH267" s="34">
        <v>3</v>
      </c>
      <c r="BI267" s="35" t="s">
        <v>236</v>
      </c>
      <c r="BO267" s="28"/>
      <c r="BX267" s="28"/>
      <c r="CA267"/>
      <c r="CB267"/>
    </row>
    <row r="268" spans="3:80" ht="23.25" customHeight="1" x14ac:dyDescent="0.25">
      <c r="H268" s="28"/>
      <c r="L268" s="37"/>
      <c r="N268" s="52"/>
      <c r="P268" s="65"/>
      <c r="Q268" s="280"/>
      <c r="R268"/>
      <c r="S268" s="283"/>
      <c r="T268" s="283"/>
      <c r="U268" s="283"/>
      <c r="V268"/>
      <c r="W268" s="28"/>
      <c r="X268" s="28"/>
      <c r="Y268"/>
      <c r="Z268" s="311"/>
      <c r="AA268" s="311"/>
      <c r="AB268" s="52"/>
      <c r="AC268" s="52"/>
      <c r="AD268" s="52"/>
      <c r="AF268" s="282"/>
      <c r="AG268" s="282"/>
      <c r="AH268" s="312"/>
      <c r="AI268"/>
      <c r="AR268" s="28"/>
      <c r="AZ268" s="34">
        <v>2</v>
      </c>
      <c r="BA268" s="35" t="s">
        <v>144</v>
      </c>
      <c r="BE268" s="34">
        <v>2</v>
      </c>
      <c r="BF268" s="35" t="s">
        <v>177</v>
      </c>
      <c r="BH268" s="34">
        <v>4</v>
      </c>
      <c r="BI268" s="35" t="s">
        <v>122</v>
      </c>
      <c r="BO268" s="28"/>
      <c r="BR268"/>
      <c r="BX268" s="28"/>
      <c r="CA268"/>
      <c r="CB268"/>
    </row>
    <row r="269" spans="3:80" ht="23.25" customHeight="1" x14ac:dyDescent="0.25">
      <c r="H269" s="28"/>
      <c r="L269" s="37"/>
      <c r="N269" s="52"/>
      <c r="P269" s="65"/>
      <c r="Q269" s="280"/>
      <c r="R269"/>
      <c r="S269" s="283"/>
      <c r="T269" s="283"/>
      <c r="U269" s="283"/>
      <c r="V269"/>
      <c r="W269" s="28"/>
      <c r="X269" s="28"/>
      <c r="Y269"/>
      <c r="Z269" s="311"/>
      <c r="AA269" s="311"/>
      <c r="AB269" s="52"/>
      <c r="AC269" s="52"/>
      <c r="AD269" s="52"/>
      <c r="AF269" s="282"/>
      <c r="AG269" s="282"/>
      <c r="AH269" s="312"/>
      <c r="AI269"/>
      <c r="AR269" s="28"/>
      <c r="AV269" s="424" t="s">
        <v>70</v>
      </c>
      <c r="AW269" s="424"/>
      <c r="AZ269" s="39">
        <v>3</v>
      </c>
      <c r="BA269" s="40" t="s">
        <v>25</v>
      </c>
      <c r="BE269" s="85">
        <v>3</v>
      </c>
      <c r="BF269" s="40" t="s">
        <v>178</v>
      </c>
      <c r="BH269" s="34">
        <v>5</v>
      </c>
      <c r="BI269" s="35" t="s">
        <v>394</v>
      </c>
      <c r="BO269" s="28"/>
      <c r="BR269" s="127" t="str">
        <f>IF(AV270=TRUE,BR271,"")</f>
        <v/>
      </c>
      <c r="BX269" s="28"/>
      <c r="CA269"/>
      <c r="CB269"/>
    </row>
    <row r="270" spans="3:80" ht="23.25" customHeight="1" x14ac:dyDescent="0.25">
      <c r="H270" s="28" t="s">
        <v>331</v>
      </c>
      <c r="L270" s="37"/>
      <c r="N270" s="284" t="s">
        <v>335</v>
      </c>
      <c r="P270" s="434" t="s">
        <v>332</v>
      </c>
      <c r="Q270" s="434"/>
      <c r="R270"/>
      <c r="S270" s="433" t="s">
        <v>333</v>
      </c>
      <c r="T270" s="433"/>
      <c r="U270" s="433"/>
      <c r="V270"/>
      <c r="W270" s="458" t="s">
        <v>334</v>
      </c>
      <c r="X270" s="458"/>
      <c r="Y270"/>
      <c r="Z270" s="311"/>
      <c r="AA270" s="311"/>
      <c r="AB270" s="52"/>
      <c r="AC270" s="52"/>
      <c r="AD270" s="52"/>
      <c r="AF270" s="282"/>
      <c r="AG270" s="282"/>
      <c r="AH270" s="312"/>
      <c r="AI270"/>
      <c r="AR270" s="28"/>
      <c r="AV270" s="425" t="b">
        <v>0</v>
      </c>
      <c r="AW270" s="426"/>
      <c r="BH270" s="34">
        <v>6</v>
      </c>
      <c r="BI270" s="35" t="s">
        <v>251</v>
      </c>
      <c r="BO270" s="28"/>
      <c r="BR270" s="127" t="str">
        <f>IF(AND(BE264=3,AV270=TRUE),"FALTA TAMANHO",IF(AV270=TRUE,AV269,""))</f>
        <v/>
      </c>
      <c r="BX270" s="28"/>
      <c r="CA270"/>
      <c r="CB270"/>
    </row>
    <row r="271" spans="3:80" x14ac:dyDescent="0.25">
      <c r="H271" s="28"/>
      <c r="AR271" s="28"/>
      <c r="BH271" s="305">
        <v>7</v>
      </c>
      <c r="BI271" s="40" t="s">
        <v>395</v>
      </c>
      <c r="BO271" s="28"/>
      <c r="BR271" t="s">
        <v>229</v>
      </c>
      <c r="BX271" s="28"/>
      <c r="CA271"/>
      <c r="CB271"/>
    </row>
    <row r="272" spans="3:80" x14ac:dyDescent="0.25">
      <c r="H272" s="28"/>
      <c r="AR272" s="28"/>
      <c r="AV272"/>
      <c r="AW272"/>
      <c r="BO272" s="28"/>
      <c r="BR272"/>
      <c r="BS272"/>
      <c r="BT272"/>
      <c r="BX272" s="28"/>
      <c r="BZ272"/>
      <c r="CA272"/>
    </row>
    <row r="273" spans="3:80" x14ac:dyDescent="0.25">
      <c r="H273" s="28"/>
      <c r="R273" s="440"/>
      <c r="AR273" s="28"/>
      <c r="AV273"/>
      <c r="AW273"/>
      <c r="BH273" s="51"/>
      <c r="BI273" s="51" t="s">
        <v>178</v>
      </c>
      <c r="BO273" s="28"/>
      <c r="BX273" s="28"/>
      <c r="BZ273"/>
      <c r="CA273"/>
    </row>
    <row r="274" spans="3:80" x14ac:dyDescent="0.25">
      <c r="H274" s="28"/>
      <c r="R274" s="440"/>
      <c r="AR274" s="28"/>
      <c r="AV274"/>
      <c r="AW274"/>
      <c r="BH274" s="51"/>
      <c r="BI274" s="51" t="s">
        <v>25</v>
      </c>
      <c r="BO274" s="28"/>
      <c r="BX274" s="28"/>
      <c r="BZ274"/>
      <c r="CA274"/>
    </row>
    <row r="275" spans="3:80" x14ac:dyDescent="0.25">
      <c r="H275" s="28"/>
      <c r="AR275" s="28"/>
      <c r="AV275"/>
      <c r="AW275"/>
      <c r="BO275" s="28"/>
      <c r="BX275" s="28"/>
    </row>
    <row r="276" spans="3:80" x14ac:dyDescent="0.25">
      <c r="H276" s="28"/>
      <c r="AR276" s="28"/>
      <c r="AV276"/>
      <c r="AW276"/>
      <c r="BO276" s="28"/>
      <c r="BX276" s="28"/>
    </row>
    <row r="277" spans="3:80" ht="15.75" thickBot="1" x14ac:dyDescent="0.3">
      <c r="H277" s="28"/>
      <c r="J277" s="43" t="s">
        <v>90</v>
      </c>
      <c r="Y277" s="53"/>
      <c r="Z277" s="53"/>
      <c r="AA277" s="53"/>
      <c r="AB277" s="53"/>
      <c r="AC277" s="256"/>
      <c r="AD277" s="256"/>
      <c r="AE277" s="256"/>
      <c r="AF277" s="256"/>
      <c r="AK277" s="256"/>
      <c r="AL277" s="256"/>
      <c r="AM277" s="256"/>
      <c r="AN277" s="256"/>
      <c r="AO277" s="256"/>
      <c r="AP277" s="256"/>
      <c r="AQ277" s="256"/>
      <c r="AR277" s="28"/>
      <c r="AV277"/>
      <c r="AW277"/>
      <c r="BO277" s="28"/>
      <c r="BR277" s="29" t="s">
        <v>56</v>
      </c>
      <c r="BX277" s="28"/>
      <c r="BZ277" s="29" t="s">
        <v>56</v>
      </c>
    </row>
    <row r="278" spans="3:80" ht="35.25" customHeight="1" thickBot="1" x14ac:dyDescent="0.3">
      <c r="H278" s="28"/>
      <c r="J278" s="439" t="s">
        <v>91</v>
      </c>
      <c r="K278" s="439"/>
      <c r="L278" s="439"/>
      <c r="M278" s="439"/>
      <c r="N278" s="439"/>
      <c r="Y278" s="53"/>
      <c r="Z278" s="53"/>
      <c r="AA278" s="53"/>
      <c r="AB278" s="53"/>
      <c r="AC278" s="256"/>
      <c r="AD278" s="256"/>
      <c r="AE278" s="256"/>
      <c r="AF278" s="256"/>
      <c r="AG278" s="256"/>
      <c r="AH278" s="256"/>
      <c r="AI278" s="256"/>
      <c r="AJ278" s="256"/>
      <c r="AK278" s="256"/>
      <c r="AL278" s="256"/>
      <c r="AM278" s="256"/>
      <c r="AN278" s="256"/>
      <c r="AO278" s="256"/>
      <c r="AP278" s="256"/>
      <c r="AQ278" s="256"/>
      <c r="AR278" s="28"/>
      <c r="BO278" s="28"/>
      <c r="BR278" s="67" t="s">
        <v>91</v>
      </c>
      <c r="BX278" s="28"/>
      <c r="BZ278" s="68" t="str">
        <f>IF(J278=BR278,"",J278)</f>
        <v/>
      </c>
    </row>
    <row r="279" spans="3:80" x14ac:dyDescent="0.25">
      <c r="H279" s="28"/>
      <c r="AR279" s="28"/>
      <c r="BO279" s="28"/>
      <c r="BX279" s="28"/>
    </row>
    <row r="280" spans="3:80" s="28" customFormat="1" ht="8.25" customHeight="1" x14ac:dyDescent="0.25"/>
    <row r="281" spans="3:80" x14ac:dyDescent="0.25">
      <c r="H281" s="28"/>
      <c r="J281" s="413" t="s">
        <v>69</v>
      </c>
      <c r="K281" s="413"/>
      <c r="L281" s="413"/>
      <c r="P281" s="25" t="s">
        <v>35</v>
      </c>
      <c r="AR281" s="28"/>
      <c r="BO281" s="28"/>
      <c r="BX281" s="28"/>
    </row>
    <row r="282" spans="3:80" ht="24.75" customHeight="1" x14ac:dyDescent="0.25">
      <c r="C282" s="455" t="s">
        <v>39</v>
      </c>
      <c r="D282" s="455"/>
      <c r="H282" s="28"/>
      <c r="J282" s="413"/>
      <c r="K282" s="413"/>
      <c r="L282" s="413"/>
      <c r="T282" s="428"/>
      <c r="U282" s="428"/>
      <c r="V282" s="428"/>
      <c r="Y282" s="441"/>
      <c r="Z282" s="441"/>
      <c r="AR282" s="28"/>
      <c r="AZ282" s="24">
        <v>4</v>
      </c>
      <c r="BA282" s="456" t="str">
        <f>VLOOKUP(AZ282,AZ284:BB287,2,FALSE)</f>
        <v>SEM ESCOLHA</v>
      </c>
      <c r="BB282" s="457"/>
      <c r="BO282" s="28"/>
      <c r="BX282" s="28"/>
    </row>
    <row r="283" spans="3:80" x14ac:dyDescent="0.25">
      <c r="C283" s="455"/>
      <c r="D283" s="455"/>
      <c r="H283" s="28"/>
      <c r="AR283" s="28"/>
      <c r="BO283" s="28"/>
      <c r="BX283" s="28"/>
    </row>
    <row r="284" spans="3:80" ht="24" customHeight="1" x14ac:dyDescent="0.25">
      <c r="H284" s="28"/>
      <c r="AR284" s="28"/>
      <c r="AZ284" s="34">
        <v>1</v>
      </c>
      <c r="BA284" s="419" t="s">
        <v>148</v>
      </c>
      <c r="BB284" s="420"/>
      <c r="BO284" s="28"/>
      <c r="BS284" s="136">
        <v>0</v>
      </c>
      <c r="BT284" s="448" t="s">
        <v>25</v>
      </c>
      <c r="BU284" s="449"/>
      <c r="BX284" s="28"/>
    </row>
    <row r="285" spans="3:80" ht="24" customHeight="1" x14ac:dyDescent="0.25">
      <c r="H285" s="28"/>
      <c r="AR285" s="28"/>
      <c r="AV285" s="24">
        <v>4</v>
      </c>
      <c r="AW285" s="456" t="str">
        <f>VLOOKUP(AV285,AV286:AX290,2,FALSE)</f>
        <v>SEM MESA</v>
      </c>
      <c r="AX285" s="457"/>
      <c r="AZ285" s="34">
        <v>2</v>
      </c>
      <c r="BA285" s="419" t="s">
        <v>149</v>
      </c>
      <c r="BB285" s="420"/>
      <c r="BO285" s="28"/>
      <c r="BS285" s="34">
        <v>1</v>
      </c>
      <c r="BT285" s="456" t="s">
        <v>148</v>
      </c>
      <c r="BU285" s="457"/>
      <c r="BX285" s="28"/>
    </row>
    <row r="286" spans="3:80" ht="24" customHeight="1" x14ac:dyDescent="0.25">
      <c r="H286" s="28"/>
      <c r="J286" s="37"/>
      <c r="L286" s="38"/>
      <c r="N286" s="26"/>
      <c r="P286" s="26"/>
      <c r="AR286" s="28"/>
      <c r="AV286" s="136">
        <v>0</v>
      </c>
      <c r="AW286" s="448" t="s">
        <v>146</v>
      </c>
      <c r="AX286" s="449"/>
      <c r="AZ286" s="34">
        <v>3</v>
      </c>
      <c r="BA286" s="419" t="s">
        <v>150</v>
      </c>
      <c r="BB286" s="420"/>
      <c r="BO286" s="28"/>
      <c r="BS286" s="34">
        <v>2</v>
      </c>
      <c r="BT286" s="456" t="s">
        <v>149</v>
      </c>
      <c r="BU286" s="457"/>
      <c r="BX286" s="28"/>
      <c r="BZ286" s="51" t="str">
        <f>AW285</f>
        <v>SEM MESA</v>
      </c>
      <c r="CB286" s="51" t="str">
        <f>VLOOKUP(AV285,BH287:BI291,2,FALSE)</f>
        <v>SEM ESCOLHA</v>
      </c>
    </row>
    <row r="287" spans="3:80" ht="23.25" customHeight="1" x14ac:dyDescent="0.25">
      <c r="H287" s="28"/>
      <c r="J287" s="37"/>
      <c r="L287" s="38"/>
      <c r="N287" s="26"/>
      <c r="P287" s="26"/>
      <c r="AR287" s="28"/>
      <c r="AV287" s="34">
        <v>1</v>
      </c>
      <c r="AW287" s="419" t="s">
        <v>80</v>
      </c>
      <c r="AX287" s="420"/>
      <c r="AZ287" s="39">
        <v>4</v>
      </c>
      <c r="BA287" s="448" t="s">
        <v>25</v>
      </c>
      <c r="BB287" s="449"/>
      <c r="BH287" s="136">
        <v>0</v>
      </c>
      <c r="BI287" s="136" t="s">
        <v>25</v>
      </c>
      <c r="BO287" s="28"/>
      <c r="BS287" s="34">
        <v>3</v>
      </c>
      <c r="BT287" s="456" t="s">
        <v>150</v>
      </c>
      <c r="BU287" s="457"/>
      <c r="BX287" s="28"/>
    </row>
    <row r="288" spans="3:80" ht="23.25" customHeight="1" x14ac:dyDescent="0.25">
      <c r="H288" s="28"/>
      <c r="J288" s="37"/>
      <c r="L288" s="38"/>
      <c r="N288" s="26"/>
      <c r="P288" s="26"/>
      <c r="AR288" s="28"/>
      <c r="AV288" s="34">
        <v>2</v>
      </c>
      <c r="AW288" s="419" t="s">
        <v>125</v>
      </c>
      <c r="AX288" s="420"/>
      <c r="BH288" s="34">
        <v>1</v>
      </c>
      <c r="BI288" s="34" t="str">
        <f>BA282</f>
        <v>SEM ESCOLHA</v>
      </c>
      <c r="BO288" s="28"/>
      <c r="BS288" s="39">
        <v>4</v>
      </c>
      <c r="BT288" s="448" t="s">
        <v>25</v>
      </c>
      <c r="BU288" s="449"/>
      <c r="BX288" s="28"/>
    </row>
    <row r="289" spans="8:78" ht="23.25" customHeight="1" x14ac:dyDescent="0.25">
      <c r="H289" s="28"/>
      <c r="J289" s="37"/>
      <c r="L289" s="38"/>
      <c r="N289" s="26"/>
      <c r="P289" s="26"/>
      <c r="AR289" s="28"/>
      <c r="AV289" s="34">
        <v>3</v>
      </c>
      <c r="AW289" s="419" t="s">
        <v>124</v>
      </c>
      <c r="AX289" s="420"/>
      <c r="BH289" s="34">
        <v>2</v>
      </c>
      <c r="BI289" s="34" t="str">
        <f>BA292</f>
        <v>SEM ESCOLHA</v>
      </c>
      <c r="BO289" s="28"/>
      <c r="BX289" s="28"/>
    </row>
    <row r="290" spans="8:78" ht="23.25" customHeight="1" x14ac:dyDescent="0.25">
      <c r="H290" s="28"/>
      <c r="J290" s="37"/>
      <c r="L290" s="38"/>
      <c r="N290" s="26"/>
      <c r="P290" s="26"/>
      <c r="AR290" s="28"/>
      <c r="AV290" s="39">
        <v>4</v>
      </c>
      <c r="AW290" s="448" t="s">
        <v>146</v>
      </c>
      <c r="AX290" s="449"/>
      <c r="BH290" s="34">
        <v>3</v>
      </c>
      <c r="BI290" s="34" t="str">
        <f>BA292</f>
        <v>SEM ESCOLHA</v>
      </c>
      <c r="BO290" s="28"/>
      <c r="BX290" s="28"/>
    </row>
    <row r="291" spans="8:78" ht="23.25" customHeight="1" x14ac:dyDescent="0.25">
      <c r="H291" s="28"/>
      <c r="J291" s="37"/>
      <c r="L291" s="38"/>
      <c r="N291" s="26"/>
      <c r="P291" s="26"/>
      <c r="AR291" s="28"/>
      <c r="BH291" s="136">
        <v>4</v>
      </c>
      <c r="BI291" s="136" t="s">
        <v>25</v>
      </c>
      <c r="BO291" s="28"/>
      <c r="BX291" s="28"/>
    </row>
    <row r="292" spans="8:78" ht="23.25" customHeight="1" x14ac:dyDescent="0.25">
      <c r="H292" s="28"/>
      <c r="J292" s="37"/>
      <c r="L292" s="38"/>
      <c r="N292" s="26"/>
      <c r="P292" s="26"/>
      <c r="AR292" s="28"/>
      <c r="AZ292" s="24">
        <v>4</v>
      </c>
      <c r="BA292" s="456" t="str">
        <f>VLOOKUP(AZ292,AZ294:BB297,2,FALSE)</f>
        <v>SEM ESCOLHA</v>
      </c>
      <c r="BB292" s="457"/>
      <c r="BO292" s="28"/>
      <c r="BX292" s="28"/>
    </row>
    <row r="293" spans="8:78" ht="23.25" customHeight="1" x14ac:dyDescent="0.25">
      <c r="H293" s="28"/>
      <c r="J293" s="37"/>
      <c r="L293" s="38"/>
      <c r="N293" s="26"/>
      <c r="P293" s="26"/>
      <c r="AR293" s="28"/>
      <c r="BO293" s="28"/>
      <c r="BX293" s="28"/>
    </row>
    <row r="294" spans="8:78" ht="21" customHeight="1" x14ac:dyDescent="0.25">
      <c r="H294" s="28"/>
      <c r="AR294" s="28"/>
      <c r="AZ294" s="34">
        <v>1</v>
      </c>
      <c r="BA294" s="419" t="s">
        <v>148</v>
      </c>
      <c r="BB294" s="420"/>
      <c r="BO294" s="28"/>
      <c r="BX294" s="28"/>
    </row>
    <row r="295" spans="8:78" ht="19.5" customHeight="1" x14ac:dyDescent="0.25">
      <c r="H295" s="28"/>
      <c r="AR295" s="28"/>
      <c r="AZ295" s="34">
        <v>2</v>
      </c>
      <c r="BA295" s="419" t="s">
        <v>149</v>
      </c>
      <c r="BB295" s="420"/>
      <c r="BO295" s="28"/>
      <c r="BX295" s="28"/>
    </row>
    <row r="296" spans="8:78" x14ac:dyDescent="0.25">
      <c r="H296" s="28"/>
      <c r="AR296" s="28"/>
      <c r="AZ296" s="34">
        <v>3</v>
      </c>
      <c r="BA296" s="419" t="s">
        <v>150</v>
      </c>
      <c r="BB296" s="420"/>
      <c r="BO296" s="28"/>
      <c r="BX296" s="28"/>
    </row>
    <row r="297" spans="8:78" ht="25.5" customHeight="1" x14ac:dyDescent="0.25">
      <c r="H297" s="28"/>
      <c r="AR297" s="28"/>
      <c r="AZ297" s="39">
        <v>4</v>
      </c>
      <c r="BA297" s="448" t="s">
        <v>25</v>
      </c>
      <c r="BB297" s="449"/>
      <c r="BO297" s="28"/>
      <c r="BX297" s="28"/>
    </row>
    <row r="298" spans="8:78" x14ac:dyDescent="0.25">
      <c r="H298" s="28"/>
      <c r="AR298" s="28"/>
      <c r="BO298" s="28"/>
      <c r="BX298" s="28"/>
    </row>
    <row r="299" spans="8:78" x14ac:dyDescent="0.25">
      <c r="H299" s="28"/>
      <c r="AR299" s="28"/>
      <c r="BO299" s="28"/>
      <c r="BX299" s="28"/>
    </row>
    <row r="300" spans="8:78" x14ac:dyDescent="0.25">
      <c r="H300" s="28"/>
      <c r="AR300" s="28"/>
      <c r="BO300" s="28"/>
      <c r="BX300" s="28"/>
    </row>
    <row r="301" spans="8:78" ht="15.75" thickBot="1" x14ac:dyDescent="0.3">
      <c r="H301" s="28"/>
      <c r="J301" s="43" t="s">
        <v>90</v>
      </c>
      <c r="Y301" s="53"/>
      <c r="Z301" s="53"/>
      <c r="AA301" s="53"/>
      <c r="AB301" s="53"/>
      <c r="AC301" s="256"/>
      <c r="AD301" s="256"/>
      <c r="AE301" s="256"/>
      <c r="AF301" s="256"/>
      <c r="AG301" s="256"/>
      <c r="AH301" s="256"/>
      <c r="AI301" s="256"/>
      <c r="AJ301" s="256"/>
      <c r="AK301" s="256"/>
      <c r="AL301" s="256"/>
      <c r="AM301" s="256"/>
      <c r="AN301" s="256"/>
      <c r="AO301" s="256"/>
      <c r="AP301" s="256"/>
      <c r="AQ301" s="256"/>
      <c r="AR301" s="28"/>
      <c r="BO301" s="28"/>
      <c r="BR301" s="29" t="s">
        <v>56</v>
      </c>
      <c r="BX301" s="28"/>
      <c r="BZ301" s="29" t="s">
        <v>56</v>
      </c>
    </row>
    <row r="302" spans="8:78" ht="35.25" customHeight="1" thickBot="1" x14ac:dyDescent="0.3">
      <c r="H302" s="28"/>
      <c r="J302" s="439" t="s">
        <v>91</v>
      </c>
      <c r="K302" s="439"/>
      <c r="L302" s="439"/>
      <c r="M302" s="439"/>
      <c r="N302" s="439"/>
      <c r="Y302" s="53"/>
      <c r="Z302" s="53"/>
      <c r="AA302" s="53"/>
      <c r="AB302" s="53"/>
      <c r="AC302" s="256"/>
      <c r="AD302" s="256"/>
      <c r="AE302" s="256"/>
      <c r="AF302" s="256"/>
      <c r="AG302" s="256"/>
      <c r="AH302" s="256"/>
      <c r="AI302" s="256"/>
      <c r="AJ302" s="256"/>
      <c r="AK302" s="256"/>
      <c r="AL302" s="256"/>
      <c r="AM302" s="256"/>
      <c r="AN302" s="256"/>
      <c r="AO302" s="256"/>
      <c r="AP302" s="256"/>
      <c r="AQ302" s="256"/>
      <c r="AR302" s="28"/>
      <c r="BO302" s="28"/>
      <c r="BR302" s="67" t="s">
        <v>91</v>
      </c>
      <c r="BX302" s="28"/>
      <c r="BZ302" s="68" t="str">
        <f>IF(J302=BR302,"",J302)</f>
        <v/>
      </c>
    </row>
    <row r="303" spans="8:78" x14ac:dyDescent="0.25">
      <c r="H303" s="28"/>
      <c r="AR303" s="28"/>
      <c r="BO303" s="28"/>
      <c r="BX303" s="28"/>
    </row>
    <row r="304" spans="8:78" s="28" customFormat="1" ht="8.25" customHeight="1" x14ac:dyDescent="0.25"/>
    <row r="305" spans="3:84" ht="15" customHeight="1" x14ac:dyDescent="0.25">
      <c r="H305" s="28"/>
      <c r="J305" s="413" t="s">
        <v>113</v>
      </c>
      <c r="K305" s="413"/>
      <c r="L305" s="413"/>
      <c r="P305" s="25" t="s">
        <v>35</v>
      </c>
      <c r="R305" s="431" t="str">
        <f>IF('MONTE AQUI SUA CADEIRA DE RODAS'!BF202=TRUE,'MONTE AQUI SUA CADEIRA DE RODAS'!BF204,"")</f>
        <v/>
      </c>
      <c r="AR305" s="28"/>
      <c r="BO305" s="28"/>
      <c r="BS305" s="25" t="s">
        <v>255</v>
      </c>
      <c r="BX305" s="28"/>
    </row>
    <row r="306" spans="3:84" ht="24.75" customHeight="1" x14ac:dyDescent="0.25">
      <c r="C306" s="455" t="s">
        <v>39</v>
      </c>
      <c r="D306" s="455"/>
      <c r="H306" s="28"/>
      <c r="J306" s="413"/>
      <c r="K306" s="413"/>
      <c r="L306" s="413"/>
      <c r="R306" s="431"/>
      <c r="T306" s="428"/>
      <c r="U306" s="428"/>
      <c r="V306" s="428"/>
      <c r="Y306" s="441"/>
      <c r="Z306" s="441"/>
      <c r="AR306" s="28"/>
      <c r="AV306" s="424" t="s">
        <v>295</v>
      </c>
      <c r="AW306" s="424"/>
      <c r="BH306" s="409" t="s">
        <v>254</v>
      </c>
      <c r="BI306" s="409"/>
      <c r="BO306" s="28"/>
      <c r="BX306" s="28"/>
      <c r="BZ306" s="51" t="str">
        <f>IF(AV307=FALSE,"",AV306)</f>
        <v/>
      </c>
    </row>
    <row r="307" spans="3:84" x14ac:dyDescent="0.25">
      <c r="C307" s="455"/>
      <c r="D307" s="455"/>
      <c r="H307" s="28"/>
      <c r="R307" s="431"/>
      <c r="AR307" s="28"/>
      <c r="AV307" s="425" t="b">
        <v>0</v>
      </c>
      <c r="AW307" s="426"/>
      <c r="BH307" s="24">
        <v>4</v>
      </c>
      <c r="BI307" s="103" t="str">
        <f>VLOOKUP(BH307,BH308:BI312,2,FALSE)</f>
        <v>SEM ESCOLHA</v>
      </c>
      <c r="BL307" s="424" t="s">
        <v>158</v>
      </c>
      <c r="BM307" s="424"/>
      <c r="BO307" s="28"/>
      <c r="BX307" s="28"/>
    </row>
    <row r="308" spans="3:84" ht="24" customHeight="1" x14ac:dyDescent="0.25">
      <c r="H308" s="28"/>
      <c r="R308" s="125"/>
      <c r="W308" s="453" t="s">
        <v>339</v>
      </c>
      <c r="X308" s="453"/>
      <c r="AR308" s="28"/>
      <c r="AV308" s="424" t="s">
        <v>297</v>
      </c>
      <c r="AW308" s="424"/>
      <c r="BA308" s="409" t="s">
        <v>128</v>
      </c>
      <c r="BB308" s="409"/>
      <c r="BC308" s="409"/>
      <c r="BD308" s="409"/>
      <c r="BE308" s="409"/>
      <c r="BH308" s="34">
        <v>0</v>
      </c>
      <c r="BI308" s="102" t="s">
        <v>8</v>
      </c>
      <c r="BL308" s="425" t="b">
        <v>0</v>
      </c>
      <c r="BM308" s="426"/>
      <c r="BO308" s="28"/>
      <c r="BT308" s="51" t="str">
        <f>IF(AV309=FALSE,"",BI307)</f>
        <v/>
      </c>
      <c r="BX308" s="28"/>
      <c r="BZ308" s="51" t="str">
        <f>IF(AV309=FALSE,"",AV308)</f>
        <v/>
      </c>
      <c r="CB308" s="51" t="str">
        <f>IF(AV309=FALSE,"",CONCATENATE( BT308,"  -  ",BT309))</f>
        <v/>
      </c>
    </row>
    <row r="309" spans="3:84" ht="24" customHeight="1" x14ac:dyDescent="0.25">
      <c r="H309" s="28"/>
      <c r="AR309" s="28"/>
      <c r="AV309" s="425" t="b">
        <v>0</v>
      </c>
      <c r="AW309" s="426"/>
      <c r="BA309" s="24">
        <v>0</v>
      </c>
      <c r="BB309" s="451" t="str">
        <f>VLOOKUP(BA309,BA310:BE313,2,FALSE)</f>
        <v>VAZIO</v>
      </c>
      <c r="BC309" s="451"/>
      <c r="BD309" s="451"/>
      <c r="BE309" s="451"/>
      <c r="BH309" s="34">
        <v>1</v>
      </c>
      <c r="BI309" s="102" t="s">
        <v>199</v>
      </c>
      <c r="BO309" s="28"/>
      <c r="BT309" s="51" t="str">
        <f>BI315</f>
        <v>SEM ESCOLHA</v>
      </c>
      <c r="BX309" s="28"/>
    </row>
    <row r="310" spans="3:84" ht="24" customHeight="1" x14ac:dyDescent="0.25">
      <c r="H310" s="28"/>
      <c r="J310" s="37"/>
      <c r="L310" s="38"/>
      <c r="N310" s="52"/>
      <c r="P310" s="65"/>
      <c r="Q310" s="65"/>
      <c r="R310"/>
      <c r="S310"/>
      <c r="T310" s="283"/>
      <c r="U310" s="281"/>
      <c r="V310"/>
      <c r="W310" s="52"/>
      <c r="X310" s="52"/>
      <c r="Y310"/>
      <c r="Z310" s="285"/>
      <c r="AA310" s="285"/>
      <c r="AB310" s="28"/>
      <c r="AC310" s="28"/>
      <c r="AE310" s="65"/>
      <c r="AF310" s="65"/>
      <c r="AG310" s="65"/>
      <c r="AI310" s="37"/>
      <c r="AJ310" s="37"/>
      <c r="AR310" s="28"/>
      <c r="AV310" s="424" t="s">
        <v>396</v>
      </c>
      <c r="AW310" s="424"/>
      <c r="BA310" s="34">
        <v>0</v>
      </c>
      <c r="BB310" s="452" t="s">
        <v>8</v>
      </c>
      <c r="BC310" s="452"/>
      <c r="BD310" s="452"/>
      <c r="BE310" s="452"/>
      <c r="BH310" s="34">
        <v>2</v>
      </c>
      <c r="BI310" s="102" t="s">
        <v>198</v>
      </c>
      <c r="BL310" s="424" t="s">
        <v>159</v>
      </c>
      <c r="BM310" s="424"/>
      <c r="BO310" s="28"/>
      <c r="BX310" s="28"/>
      <c r="BZ310" s="51" t="str">
        <f>IF(AV311=FALSE,"",AV310)</f>
        <v/>
      </c>
      <c r="CB310" s="51" t="str">
        <f>BB309</f>
        <v>VAZIO</v>
      </c>
    </row>
    <row r="311" spans="3:84" ht="23.25" customHeight="1" x14ac:dyDescent="0.25">
      <c r="H311" s="28"/>
      <c r="J311" s="37"/>
      <c r="L311" s="38"/>
      <c r="N311" s="52"/>
      <c r="P311" s="65"/>
      <c r="Q311" s="65"/>
      <c r="R311"/>
      <c r="S311"/>
      <c r="T311" s="283"/>
      <c r="U311" s="281"/>
      <c r="V311"/>
      <c r="W311" s="52"/>
      <c r="X311" s="52"/>
      <c r="Y311"/>
      <c r="Z311" s="285"/>
      <c r="AA311" s="285"/>
      <c r="AB311" s="28"/>
      <c r="AC311" s="28"/>
      <c r="AE311" s="65"/>
      <c r="AF311" s="65"/>
      <c r="AG311" s="65"/>
      <c r="AI311" s="37"/>
      <c r="AJ311" s="37"/>
      <c r="AR311" s="28"/>
      <c r="AV311" s="425" t="b">
        <v>0</v>
      </c>
      <c r="AW311" s="426"/>
      <c r="BA311" s="34">
        <v>1</v>
      </c>
      <c r="BB311" s="452" t="s">
        <v>129</v>
      </c>
      <c r="BC311" s="452"/>
      <c r="BD311" s="452"/>
      <c r="BE311" s="452"/>
      <c r="BH311" s="34">
        <v>3</v>
      </c>
      <c r="BI311" s="153" t="s">
        <v>296</v>
      </c>
      <c r="BL311" s="425" t="b">
        <v>0</v>
      </c>
      <c r="BM311" s="426"/>
      <c r="BO311" s="28"/>
      <c r="BS311" s="34">
        <v>1</v>
      </c>
      <c r="BT311" s="70" t="s">
        <v>76</v>
      </c>
      <c r="BX311" s="28"/>
    </row>
    <row r="312" spans="3:84" ht="23.25" customHeight="1" x14ac:dyDescent="0.25">
      <c r="H312" s="28"/>
      <c r="J312" s="37"/>
      <c r="L312" s="38"/>
      <c r="N312" s="52"/>
      <c r="P312" s="65"/>
      <c r="Q312" s="65"/>
      <c r="R312"/>
      <c r="S312"/>
      <c r="T312" s="283"/>
      <c r="U312" s="281"/>
      <c r="V312"/>
      <c r="W312" s="52"/>
      <c r="X312" s="52"/>
      <c r="Y312"/>
      <c r="Z312" s="285"/>
      <c r="AA312" s="285"/>
      <c r="AB312" s="28"/>
      <c r="AC312" s="28"/>
      <c r="AE312" s="65"/>
      <c r="AF312" s="65"/>
      <c r="AG312" s="65"/>
      <c r="AI312" s="37"/>
      <c r="AJ312" s="37"/>
      <c r="AR312" s="28"/>
      <c r="AV312" s="424" t="s">
        <v>340</v>
      </c>
      <c r="AW312" s="424"/>
      <c r="BA312" s="34">
        <v>2</v>
      </c>
      <c r="BB312" s="452" t="s">
        <v>130</v>
      </c>
      <c r="BC312" s="452"/>
      <c r="BD312" s="452"/>
      <c r="BE312" s="452"/>
      <c r="BH312" s="151">
        <v>4</v>
      </c>
      <c r="BI312" s="151" t="s">
        <v>25</v>
      </c>
      <c r="BO312" s="28"/>
      <c r="BS312" s="34">
        <v>2</v>
      </c>
      <c r="BT312" s="70" t="s">
        <v>77</v>
      </c>
      <c r="BX312" s="28"/>
      <c r="BZ312" s="51" t="str">
        <f>IF(AV318=FALSE,"",AV317)</f>
        <v/>
      </c>
      <c r="CB312" s="51" t="str">
        <f>IF(AV318=FALSE,"",BT317)</f>
        <v/>
      </c>
    </row>
    <row r="313" spans="3:84" ht="23.25" customHeight="1" x14ac:dyDescent="0.25">
      <c r="H313" s="28"/>
      <c r="J313" s="37"/>
      <c r="L313" s="38"/>
      <c r="N313" s="52"/>
      <c r="P313" s="65"/>
      <c r="Q313" s="65"/>
      <c r="R313"/>
      <c r="S313"/>
      <c r="T313" s="283"/>
      <c r="U313" s="281"/>
      <c r="V313"/>
      <c r="W313" s="52"/>
      <c r="X313" s="52"/>
      <c r="Y313"/>
      <c r="Z313" s="285"/>
      <c r="AA313" s="285"/>
      <c r="AB313" s="28"/>
      <c r="AC313" s="28"/>
      <c r="AE313" s="65"/>
      <c r="AF313" s="65"/>
      <c r="AG313" s="65"/>
      <c r="AI313" s="37"/>
      <c r="AJ313" s="37"/>
      <c r="AR313" s="28"/>
      <c r="AV313" s="425" t="b">
        <v>0</v>
      </c>
      <c r="AW313" s="426"/>
      <c r="BA313" s="39">
        <v>3</v>
      </c>
      <c r="BB313" s="454" t="s">
        <v>25</v>
      </c>
      <c r="BC313" s="454"/>
      <c r="BD313" s="454"/>
      <c r="BE313" s="454"/>
      <c r="BL313" s="424" t="s">
        <v>160</v>
      </c>
      <c r="BM313" s="424"/>
      <c r="BO313" s="28"/>
      <c r="BS313" s="39">
        <v>3</v>
      </c>
      <c r="BT313" s="70">
        <f>IF(BR320=BT324,"",BR320)</f>
        <v>0</v>
      </c>
      <c r="BX313" s="28"/>
    </row>
    <row r="314" spans="3:84" ht="23.25" customHeight="1" x14ac:dyDescent="0.25">
      <c r="H314" s="28"/>
      <c r="J314" s="37"/>
      <c r="L314" s="38"/>
      <c r="N314" s="52"/>
      <c r="P314" s="65"/>
      <c r="Q314" s="65"/>
      <c r="R314"/>
      <c r="S314"/>
      <c r="T314" s="283"/>
      <c r="U314" s="281"/>
      <c r="V314"/>
      <c r="W314" s="52"/>
      <c r="X314" s="52"/>
      <c r="Y314"/>
      <c r="Z314" s="285"/>
      <c r="AA314" s="285"/>
      <c r="AB314" s="28"/>
      <c r="AC314" s="28"/>
      <c r="AE314" s="65"/>
      <c r="AF314" s="65"/>
      <c r="AG314" s="65"/>
      <c r="AI314" s="37"/>
      <c r="AJ314" s="37"/>
      <c r="AR314" s="28"/>
      <c r="BH314" s="409" t="s">
        <v>253</v>
      </c>
      <c r="BI314" s="409"/>
      <c r="BL314" s="425" t="b">
        <v>0</v>
      </c>
      <c r="BM314" s="426"/>
      <c r="BO314" s="28"/>
      <c r="BX314" s="28"/>
      <c r="BZ314" s="51" t="str">
        <f>IF(AV320=FALSE,"",AV319)</f>
        <v/>
      </c>
    </row>
    <row r="315" spans="3:84" ht="23.25" customHeight="1" x14ac:dyDescent="0.25">
      <c r="H315" s="28"/>
      <c r="J315" s="37"/>
      <c r="L315" s="38"/>
      <c r="N315" s="52"/>
      <c r="P315" s="65"/>
      <c r="Q315" s="65"/>
      <c r="R315"/>
      <c r="S315"/>
      <c r="T315" s="283"/>
      <c r="U315" s="281"/>
      <c r="V315"/>
      <c r="W315" s="52"/>
      <c r="X315" s="52"/>
      <c r="Y315"/>
      <c r="Z315" s="285"/>
      <c r="AA315" s="285"/>
      <c r="AB315" s="28"/>
      <c r="AC315" s="28"/>
      <c r="AE315" s="65"/>
      <c r="AF315" s="65"/>
      <c r="AG315" s="65"/>
      <c r="AI315" s="37"/>
      <c r="AJ315" s="37"/>
      <c r="AR315" s="28"/>
      <c r="AV315" s="424" t="s">
        <v>398</v>
      </c>
      <c r="AW315" s="424"/>
      <c r="BA315" s="409" t="s">
        <v>126</v>
      </c>
      <c r="BB315" s="409"/>
      <c r="BC315" s="409"/>
      <c r="BD315" s="409"/>
      <c r="BE315" s="409"/>
      <c r="BH315" s="24">
        <v>3</v>
      </c>
      <c r="BI315" s="139" t="str">
        <f>VLOOKUP(BH315,BH316:BI319,2,FALSE)</f>
        <v>SEM ESCOLHA</v>
      </c>
      <c r="BO315" s="28"/>
      <c r="BR315" s="295" t="str">
        <f>IF(BA323=3,BB323,AV321)</f>
        <v>FALTA ESCOLHER TIPO DE TECIDO</v>
      </c>
      <c r="BT315" s="295" t="str">
        <f>IF(AV322=FALSE,"",IF(AND(BB317=FALSE,BB320=FALSE),"APLICAÇÃO DE ROUPAGEM NÃO ESCOLHIDA",AV323))</f>
        <v/>
      </c>
      <c r="BX315" s="28"/>
      <c r="CF315" s="51" t="str">
        <f>IF(AV311=FALSE,"",IF(BL308=FALSE,"",BL307))</f>
        <v/>
      </c>
    </row>
    <row r="316" spans="3:84" ht="23.25" customHeight="1" x14ac:dyDescent="0.25">
      <c r="H316" s="28"/>
      <c r="J316" s="37"/>
      <c r="L316" s="38"/>
      <c r="N316" s="52"/>
      <c r="P316" s="65"/>
      <c r="Q316" s="65"/>
      <c r="R316"/>
      <c r="S316"/>
      <c r="T316" s="283"/>
      <c r="U316" s="281"/>
      <c r="V316"/>
      <c r="W316" s="52"/>
      <c r="X316" s="52"/>
      <c r="Y316"/>
      <c r="Z316" s="285"/>
      <c r="AA316" s="285"/>
      <c r="AB316" s="28"/>
      <c r="AC316" s="28"/>
      <c r="AE316" s="65"/>
      <c r="AF316" s="65"/>
      <c r="AG316" s="65"/>
      <c r="AI316" s="37"/>
      <c r="AJ316" s="37"/>
      <c r="AR316" s="28"/>
      <c r="AV316" s="425" t="b">
        <v>0</v>
      </c>
      <c r="AW316" s="426"/>
      <c r="BA316" s="34">
        <v>1</v>
      </c>
      <c r="BB316" s="452" t="str">
        <f>IF(BB317=FALSE,""," NO ASSENTO")</f>
        <v/>
      </c>
      <c r="BC316" s="452"/>
      <c r="BD316" s="452"/>
      <c r="BE316" s="452"/>
      <c r="BH316" s="34">
        <v>0</v>
      </c>
      <c r="BI316" s="138" t="s">
        <v>8</v>
      </c>
      <c r="BL316" s="424" t="s">
        <v>250</v>
      </c>
      <c r="BM316" s="424"/>
      <c r="BO316" s="28"/>
      <c r="BX316" s="28"/>
      <c r="BZ316" s="51" t="str">
        <f>BT315</f>
        <v/>
      </c>
    </row>
    <row r="317" spans="3:84" ht="23.25" customHeight="1" x14ac:dyDescent="0.25">
      <c r="H317" s="28"/>
      <c r="J317" s="37"/>
      <c r="L317" s="38"/>
      <c r="N317" s="52"/>
      <c r="P317" s="65"/>
      <c r="Q317" s="65"/>
      <c r="R317"/>
      <c r="S317"/>
      <c r="T317" s="283"/>
      <c r="U317" s="281"/>
      <c r="V317"/>
      <c r="W317" s="52"/>
      <c r="X317" s="52"/>
      <c r="Y317"/>
      <c r="Z317" s="285"/>
      <c r="AA317" s="285"/>
      <c r="AB317" s="28"/>
      <c r="AC317" s="28"/>
      <c r="AE317" s="65"/>
      <c r="AF317" s="65"/>
      <c r="AG317" s="65"/>
      <c r="AI317" s="37"/>
      <c r="AJ317" s="37"/>
      <c r="AR317" s="28"/>
      <c r="AV317" s="424" t="s">
        <v>78</v>
      </c>
      <c r="AW317" s="424"/>
      <c r="BB317" s="411" t="b">
        <v>0</v>
      </c>
      <c r="BC317" s="412"/>
      <c r="BD317" s="412"/>
      <c r="BE317" s="412"/>
      <c r="BH317" s="34">
        <v>1</v>
      </c>
      <c r="BI317" s="138" t="s">
        <v>30</v>
      </c>
      <c r="BL317" s="425" t="b">
        <v>0</v>
      </c>
      <c r="BM317" s="426"/>
      <c r="BO317" s="28"/>
      <c r="BT317" s="51" t="str">
        <f>IF(P321=0,"FALTA MEDIDA",CONCATENATE(" COM     ",P321," CM    DE ALTURA"))</f>
        <v>FALTA MEDIDA</v>
      </c>
      <c r="BX317" s="28"/>
      <c r="CF317" s="51" t="str">
        <f>IF(AV311=FALSE,"",IF(BL311=FALSE,"",BL310))</f>
        <v/>
      </c>
    </row>
    <row r="318" spans="3:84" ht="21" customHeight="1" thickBot="1" x14ac:dyDescent="0.3">
      <c r="H318" s="28"/>
      <c r="P318" s="27" t="s">
        <v>156</v>
      </c>
      <c r="AR318" s="28"/>
      <c r="AV318" s="425" t="b">
        <v>0</v>
      </c>
      <c r="AW318" s="426"/>
      <c r="BH318" s="34">
        <v>2</v>
      </c>
      <c r="BI318" s="138" t="s">
        <v>31</v>
      </c>
      <c r="BO318" s="28"/>
      <c r="BX318" s="28"/>
      <c r="BZ318" s="51" t="str">
        <f>BR315</f>
        <v>FALTA ESCOLHER TIPO DE TECIDO</v>
      </c>
    </row>
    <row r="319" spans="3:84" ht="19.5" customHeight="1" thickBot="1" x14ac:dyDescent="0.3">
      <c r="H319" s="28"/>
      <c r="AR319" s="28"/>
      <c r="AV319" s="424" t="str">
        <f>BI322</f>
        <v>SEM ABDUTOR</v>
      </c>
      <c r="AW319" s="424"/>
      <c r="BA319" s="34">
        <v>2</v>
      </c>
      <c r="BB319" s="452" t="str">
        <f>IF(BB320=FALSE,""," NO ENCOSTO")</f>
        <v/>
      </c>
      <c r="BC319" s="452"/>
      <c r="BD319" s="452"/>
      <c r="BE319" s="452"/>
      <c r="BH319" s="137">
        <v>3</v>
      </c>
      <c r="BI319" s="137" t="s">
        <v>25</v>
      </c>
      <c r="BL319" s="424" t="s">
        <v>249</v>
      </c>
      <c r="BM319" s="424"/>
      <c r="BO319" s="28"/>
      <c r="BR319" s="29" t="s">
        <v>255</v>
      </c>
      <c r="BX319" s="28"/>
      <c r="CC319" s="68">
        <f>IF(BR320=BR319,"",BR320)</f>
        <v>0</v>
      </c>
      <c r="CF319" s="51" t="str">
        <f>IF(AV311=FALSE,"",IF(BL314=FALSE,"",BL313))</f>
        <v/>
      </c>
    </row>
    <row r="320" spans="3:84" x14ac:dyDescent="0.25">
      <c r="H320" s="28"/>
      <c r="P320" s="77" t="s">
        <v>157</v>
      </c>
      <c r="V320" s="313"/>
      <c r="W320" s="313"/>
      <c r="X320" s="313"/>
      <c r="AA320"/>
      <c r="AB320"/>
      <c r="AC320"/>
      <c r="AR320" s="28"/>
      <c r="AV320" s="425" t="b">
        <f>IF(BH322=0,FALSE,IF(BH322=3,FALSE,TRUE))</f>
        <v>0</v>
      </c>
      <c r="AW320" s="426"/>
      <c r="BA320"/>
      <c r="BB320" s="425" t="b">
        <v>0</v>
      </c>
      <c r="BC320" s="426"/>
      <c r="BD320" s="426"/>
      <c r="BE320" s="426"/>
      <c r="BL320" s="425" t="b">
        <v>0</v>
      </c>
      <c r="BM320" s="426"/>
      <c r="BO320" s="28"/>
      <c r="BR320" s="25">
        <f>AM334</f>
        <v>0</v>
      </c>
      <c r="BX320" s="28"/>
      <c r="BZ320" s="51" t="str">
        <f>IF(AV327=FALSE,"",AV326)</f>
        <v/>
      </c>
    </row>
    <row r="321" spans="8:84" x14ac:dyDescent="0.25">
      <c r="H321" s="28"/>
      <c r="P321" s="450">
        <v>0</v>
      </c>
      <c r="Q321" s="78"/>
      <c r="V321" s="313"/>
      <c r="W321" s="313"/>
      <c r="X321" s="313"/>
      <c r="AA321"/>
      <c r="AB321"/>
      <c r="AC321"/>
      <c r="AR321" s="28"/>
      <c r="AV321" s="424" t="str">
        <f>CONCATENATE("CAPA ADICIONAL DE ",BB323)</f>
        <v>CAPA ADICIONAL DE FALTA ESCOLHER TIPO DE TECIDO</v>
      </c>
      <c r="AW321" s="424"/>
      <c r="BH321" s="409" t="s">
        <v>79</v>
      </c>
      <c r="BI321" s="409"/>
      <c r="BO321" s="28"/>
      <c r="BX321" s="28"/>
      <c r="CF321" s="51" t="str">
        <f>IF(AV311=FALSE,"",IF(BL317=FALSE,"",BL316))</f>
        <v/>
      </c>
    </row>
    <row r="322" spans="8:84" x14ac:dyDescent="0.25">
      <c r="H322" s="28"/>
      <c r="P322" s="450"/>
      <c r="V322" s="313"/>
      <c r="W322" s="313"/>
      <c r="X322" s="313"/>
      <c r="AA322"/>
      <c r="AB322"/>
      <c r="AC322"/>
      <c r="AR322" s="28"/>
      <c r="AV322" s="425" t="b">
        <v>0</v>
      </c>
      <c r="AW322" s="426"/>
      <c r="BA322" s="409" t="s">
        <v>293</v>
      </c>
      <c r="BB322" s="409"/>
      <c r="BC322" s="409"/>
      <c r="BD322" s="409"/>
      <c r="BE322" s="409"/>
      <c r="BH322" s="24">
        <v>3</v>
      </c>
      <c r="BI322" s="152" t="str">
        <f>VLOOKUP(BH322,BH323:BI326,2,FALSE)</f>
        <v>SEM ABDUTOR</v>
      </c>
      <c r="BL322" s="424" t="str">
        <f>IF(AV316=FALSE,"",AV315)</f>
        <v/>
      </c>
      <c r="BM322" s="424"/>
      <c r="BO322" s="28"/>
      <c r="BX322" s="28"/>
    </row>
    <row r="323" spans="8:84" ht="15.75" customHeight="1" thickBot="1" x14ac:dyDescent="0.3">
      <c r="H323" s="28"/>
      <c r="V323" s="313"/>
      <c r="W323" s="313"/>
      <c r="X323" s="313"/>
      <c r="AA323"/>
      <c r="AB323"/>
      <c r="AC323"/>
      <c r="AD323" s="256"/>
      <c r="AE323" s="256"/>
      <c r="AF323" s="256"/>
      <c r="AG323" s="256"/>
      <c r="AH323" s="256"/>
      <c r="AI323" s="256"/>
      <c r="AJ323" s="256"/>
      <c r="AK323" s="256"/>
      <c r="AL323" s="256"/>
      <c r="AM323" s="256"/>
      <c r="AN323" s="256"/>
      <c r="AO323" s="256"/>
      <c r="AP323" s="256"/>
      <c r="AQ323" s="256"/>
      <c r="AR323" s="28"/>
      <c r="AV323" s="424" t="str">
        <f>CONCATENATE("APLICAR CAPA ADICIONAL  ",BB316,"   -   ",BB319)</f>
        <v xml:space="preserve">APLICAR CAPA ADICIONAL     -   </v>
      </c>
      <c r="AW323" s="424"/>
      <c r="BA323" s="24">
        <v>3</v>
      </c>
      <c r="BB323" s="451" t="str">
        <f>VLOOKUP(BA323,BA324:BE327,2,FALSE)</f>
        <v>FALTA ESCOLHER TIPO DE TECIDO</v>
      </c>
      <c r="BC323" s="451"/>
      <c r="BD323" s="451"/>
      <c r="BE323" s="451"/>
      <c r="BH323" s="34">
        <v>0</v>
      </c>
      <c r="BI323" s="153" t="s">
        <v>8</v>
      </c>
      <c r="BO323" s="28"/>
      <c r="BP323" s="29" t="s">
        <v>56</v>
      </c>
      <c r="BX323" s="28"/>
      <c r="BZ323" s="29" t="s">
        <v>56</v>
      </c>
      <c r="CF323" s="51" t="str">
        <f>IF(AV311=FALSE,"",IF(BL320=FALSE,"",BL319))</f>
        <v/>
      </c>
    </row>
    <row r="324" spans="8:84" ht="35.25" customHeight="1" thickBot="1" x14ac:dyDescent="0.3">
      <c r="H324" s="28"/>
      <c r="L324" s="79"/>
      <c r="M324" s="79"/>
      <c r="N324" s="79"/>
      <c r="V324" s="313"/>
      <c r="W324" s="313"/>
      <c r="X324" s="313"/>
      <c r="AA324"/>
      <c r="AB324"/>
      <c r="AC324"/>
      <c r="AD324" s="256"/>
      <c r="AE324" s="256"/>
      <c r="AF324" s="256"/>
      <c r="AG324" s="256"/>
      <c r="AH324" s="256"/>
      <c r="AI324" s="256"/>
      <c r="AJ324" s="256"/>
      <c r="AK324" s="256"/>
      <c r="AL324" s="256"/>
      <c r="AM324" s="256"/>
      <c r="AN324" s="256"/>
      <c r="AO324" s="256"/>
      <c r="AP324" s="256"/>
      <c r="AQ324" s="256"/>
      <c r="AR324" s="28"/>
      <c r="AV324" s="425" t="b">
        <v>1</v>
      </c>
      <c r="AW324" s="426"/>
      <c r="BA324" s="34">
        <v>0</v>
      </c>
      <c r="BB324" s="452" t="s">
        <v>8</v>
      </c>
      <c r="BC324" s="452"/>
      <c r="BD324" s="452"/>
      <c r="BE324" s="452"/>
      <c r="BH324" s="34">
        <v>1</v>
      </c>
      <c r="BI324" s="153" t="s">
        <v>291</v>
      </c>
      <c r="BO324" s="28"/>
      <c r="BP324" s="67" t="s">
        <v>91</v>
      </c>
      <c r="BT324" s="71" t="s">
        <v>127</v>
      </c>
      <c r="BX324" s="28"/>
      <c r="BZ324" s="68" t="str">
        <f>IF(J326=BP324,"",J326)</f>
        <v/>
      </c>
    </row>
    <row r="325" spans="8:84" x14ac:dyDescent="0.25">
      <c r="H325" s="28"/>
      <c r="J325" s="43" t="s">
        <v>90</v>
      </c>
      <c r="V325" s="313"/>
      <c r="W325" s="313"/>
      <c r="X325" s="313"/>
      <c r="AA325"/>
      <c r="AB325"/>
      <c r="AC325"/>
      <c r="AR325" s="28"/>
      <c r="BA325" s="34">
        <v>1</v>
      </c>
      <c r="BB325" s="452" t="s">
        <v>364</v>
      </c>
      <c r="BC325" s="452"/>
      <c r="BD325" s="452"/>
      <c r="BE325" s="452"/>
      <c r="BH325" s="34">
        <v>2</v>
      </c>
      <c r="BI325" s="153" t="s">
        <v>292</v>
      </c>
      <c r="BK325" s="409" t="s">
        <v>397</v>
      </c>
      <c r="BL325" s="409"/>
      <c r="BO325" s="28"/>
      <c r="BX325" s="28"/>
    </row>
    <row r="326" spans="8:84" ht="25.5" customHeight="1" x14ac:dyDescent="0.25">
      <c r="H326" s="28"/>
      <c r="J326" s="430" t="s">
        <v>91</v>
      </c>
      <c r="K326" s="430"/>
      <c r="L326" s="430"/>
      <c r="M326" s="430"/>
      <c r="N326" s="430"/>
      <c r="O326"/>
      <c r="P326"/>
      <c r="Q326"/>
      <c r="R326"/>
      <c r="V326" s="313"/>
      <c r="W326" s="313"/>
      <c r="X326" s="313"/>
      <c r="AA326"/>
      <c r="AB326"/>
      <c r="AC326"/>
      <c r="AR326" s="28"/>
      <c r="AV326" s="424" t="s">
        <v>294</v>
      </c>
      <c r="AW326" s="424"/>
      <c r="BA326" s="34">
        <v>2</v>
      </c>
      <c r="BB326" s="452" t="s">
        <v>365</v>
      </c>
      <c r="BC326" s="452"/>
      <c r="BD326" s="452"/>
      <c r="BE326" s="452"/>
      <c r="BH326" s="151">
        <v>3</v>
      </c>
      <c r="BI326" s="151" t="s">
        <v>341</v>
      </c>
      <c r="BK326" s="24">
        <v>3</v>
      </c>
      <c r="BL326" s="306" t="str">
        <f>VLOOKUP(BK326,BK327:BL330,2,FALSE)</f>
        <v>SEM ESCOLHA</v>
      </c>
      <c r="BO326" s="28"/>
      <c r="BX326" s="28"/>
      <c r="BZ326" s="51" t="str">
        <f>IF(AV313=FALSE,"",AV312)</f>
        <v/>
      </c>
    </row>
    <row r="327" spans="8:84" x14ac:dyDescent="0.25">
      <c r="H327" s="28"/>
      <c r="J327" s="430"/>
      <c r="K327" s="430"/>
      <c r="L327" s="430"/>
      <c r="M327" s="430"/>
      <c r="N327" s="430"/>
      <c r="O327"/>
      <c r="P327"/>
      <c r="Q327"/>
      <c r="R327"/>
      <c r="V327" s="313"/>
      <c r="W327" s="313"/>
      <c r="X327" s="313"/>
      <c r="AA327"/>
      <c r="AB327"/>
      <c r="AC327"/>
      <c r="AR327" s="28"/>
      <c r="AV327" s="425" t="b">
        <v>0</v>
      </c>
      <c r="AW327" s="426"/>
      <c r="BA327" s="151">
        <v>3</v>
      </c>
      <c r="BB327" s="454" t="s">
        <v>366</v>
      </c>
      <c r="BC327" s="454"/>
      <c r="BD327" s="454"/>
      <c r="BE327" s="454"/>
      <c r="BK327" s="34">
        <v>1</v>
      </c>
      <c r="BL327" s="70" t="s">
        <v>30</v>
      </c>
      <c r="BO327" s="28"/>
      <c r="BR327" s="51" t="str">
        <f>IF(AV316=FALSE,"",CONCATENATE(BL322," - TAMANHO ",BL326,"  -  COLAR SUPORTE"))</f>
        <v/>
      </c>
      <c r="BX327" s="28"/>
    </row>
    <row r="328" spans="8:84" ht="13.5" customHeight="1" x14ac:dyDescent="0.25">
      <c r="H328" s="28"/>
      <c r="V328" s="313"/>
      <c r="W328" s="313"/>
      <c r="X328" s="313"/>
      <c r="AR328" s="28"/>
      <c r="BK328" s="34">
        <v>2</v>
      </c>
      <c r="BL328" s="70" t="s">
        <v>31</v>
      </c>
      <c r="BO328" s="28"/>
      <c r="BX328" s="28"/>
    </row>
    <row r="329" spans="8:84" ht="13.5" customHeight="1" x14ac:dyDescent="0.25">
      <c r="H329" s="28"/>
      <c r="V329" s="313"/>
      <c r="W329" s="313"/>
      <c r="X329" s="313"/>
      <c r="AR329" s="28"/>
      <c r="BK329" s="307">
        <v>3</v>
      </c>
      <c r="BL329" s="307" t="s">
        <v>25</v>
      </c>
      <c r="BO329" s="28"/>
      <c r="BX329" s="28"/>
    </row>
    <row r="330" spans="8:84" ht="13.5" customHeight="1" x14ac:dyDescent="0.25">
      <c r="H330" s="28"/>
      <c r="V330" s="313"/>
      <c r="W330" s="313"/>
      <c r="X330" s="313"/>
      <c r="AR330" s="28"/>
      <c r="BO330" s="28"/>
      <c r="BX330" s="28"/>
    </row>
    <row r="331" spans="8:84" s="28" customFormat="1" ht="8.25" customHeight="1" x14ac:dyDescent="0.25"/>
    <row r="332" spans="8:84" x14ac:dyDescent="0.25">
      <c r="BO332" s="28"/>
      <c r="BX332" s="28"/>
    </row>
    <row r="333" spans="8:84" x14ac:dyDescent="0.25"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I333"/>
      <c r="BJ333"/>
      <c r="BO333" s="28"/>
      <c r="BR333"/>
      <c r="BS333"/>
      <c r="BT333"/>
      <c r="BX333" s="28"/>
    </row>
    <row r="334" spans="8:84" x14ac:dyDescent="0.25"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X334"/>
      <c r="AY334"/>
      <c r="AZ334"/>
      <c r="BA334"/>
      <c r="BB334"/>
      <c r="BC334"/>
      <c r="BD334"/>
      <c r="BI334"/>
      <c r="BJ334"/>
      <c r="BO334" s="28"/>
      <c r="BR334"/>
      <c r="BS334"/>
      <c r="BT334"/>
      <c r="BX334" s="28"/>
    </row>
    <row r="335" spans="8:84" x14ac:dyDescent="0.25">
      <c r="J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X335"/>
      <c r="AY335"/>
      <c r="AZ335"/>
      <c r="BI335"/>
      <c r="BJ335"/>
      <c r="BO335" s="28"/>
      <c r="BR335"/>
      <c r="BS335"/>
      <c r="BT335"/>
      <c r="BX335" s="28"/>
    </row>
    <row r="336" spans="8:84" x14ac:dyDescent="0.25">
      <c r="J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I336"/>
      <c r="BJ336"/>
      <c r="BK336"/>
      <c r="BL336"/>
      <c r="BO336" s="28"/>
      <c r="BR336"/>
      <c r="BS336"/>
      <c r="BT336"/>
      <c r="BX336" s="28"/>
    </row>
    <row r="337" spans="10:76" x14ac:dyDescent="0.25">
      <c r="J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X337"/>
      <c r="AY337"/>
      <c r="AZ337"/>
      <c r="BA337"/>
      <c r="BB337"/>
      <c r="BC337"/>
      <c r="BD337"/>
      <c r="BI337"/>
      <c r="BJ337"/>
      <c r="BK337"/>
      <c r="BL337"/>
      <c r="BO337" s="28"/>
      <c r="BR337"/>
      <c r="BS337"/>
      <c r="BT337"/>
      <c r="BX337" s="28"/>
    </row>
    <row r="338" spans="10:76" x14ac:dyDescent="0.25">
      <c r="J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X338"/>
      <c r="AY338"/>
      <c r="AZ338"/>
      <c r="BA338"/>
      <c r="BB338"/>
      <c r="BC338"/>
      <c r="BD338"/>
      <c r="BI338"/>
      <c r="BJ338"/>
      <c r="BK338"/>
      <c r="BL338"/>
      <c r="BO338" s="28"/>
      <c r="BR338"/>
      <c r="BS338"/>
      <c r="BT338"/>
      <c r="BX338" s="28"/>
    </row>
    <row r="339" spans="10:76" x14ac:dyDescent="0.25">
      <c r="J339"/>
      <c r="BI339"/>
      <c r="BJ339"/>
      <c r="BK339"/>
      <c r="BL339"/>
      <c r="BO339" s="28"/>
      <c r="BR339"/>
      <c r="BS339"/>
      <c r="BT339"/>
      <c r="BX339" s="28"/>
    </row>
  </sheetData>
  <sheetProtection algorithmName="SHA-512" hashValue="X+JQk0Sa1m9KedLrDYPP34MOdfZCbDxxXpg2OXUn1hFMHp0xiHAn4Bct9h7y2Mwv3ag8xm1GU7iThyPkp40qgQ==" saltValue="pztIABKS5ejfsBn0UtC6iA==" spinCount="100000" sheet="1" objects="1" scenarios="1" selectLockedCells="1"/>
  <mergeCells count="273">
    <mergeCell ref="F136:F140"/>
    <mergeCell ref="BS40:BT40"/>
    <mergeCell ref="C40:D41"/>
    <mergeCell ref="C58:D59"/>
    <mergeCell ref="J39:L40"/>
    <mergeCell ref="J54:N54"/>
    <mergeCell ref="W40:X40"/>
    <mergeCell ref="W53:Z53"/>
    <mergeCell ref="C116:D117"/>
    <mergeCell ref="C132:D133"/>
    <mergeCell ref="N39:P40"/>
    <mergeCell ref="P70:T73"/>
    <mergeCell ref="T88:U93"/>
    <mergeCell ref="BS58:BT58"/>
    <mergeCell ref="C97:D98"/>
    <mergeCell ref="V97:W97"/>
    <mergeCell ref="BO58:BP58"/>
    <mergeCell ref="J57:L58"/>
    <mergeCell ref="J76:L77"/>
    <mergeCell ref="J96:L97"/>
    <mergeCell ref="C77:D78"/>
    <mergeCell ref="F81:F90"/>
    <mergeCell ref="BS67:BT67"/>
    <mergeCell ref="BS68:BT68"/>
    <mergeCell ref="T62:T63"/>
    <mergeCell ref="N58:O58"/>
    <mergeCell ref="BX66:BY66"/>
    <mergeCell ref="CC79:CD79"/>
    <mergeCell ref="F121:F125"/>
    <mergeCell ref="AX116:BA116"/>
    <mergeCell ref="AX117:AZ117"/>
    <mergeCell ref="CA69:CD73"/>
    <mergeCell ref="CA87:CB87"/>
    <mergeCell ref="BZ89:CD93"/>
    <mergeCell ref="BP91:BQ91"/>
    <mergeCell ref="BF90:BG90"/>
    <mergeCell ref="N77:O77"/>
    <mergeCell ref="J73:N73"/>
    <mergeCell ref="N116:N119"/>
    <mergeCell ref="J112:N112"/>
    <mergeCell ref="BO118:BP118"/>
    <mergeCell ref="BO116:BP117"/>
    <mergeCell ref="J115:L116"/>
    <mergeCell ref="CB120:CD122"/>
    <mergeCell ref="BS120:BT123"/>
    <mergeCell ref="V118:AB118"/>
    <mergeCell ref="V116:AB116"/>
    <mergeCell ref="N128:U128"/>
    <mergeCell ref="BS139:BT139"/>
    <mergeCell ref="N132:N135"/>
    <mergeCell ref="V135:Y135"/>
    <mergeCell ref="J92:N92"/>
    <mergeCell ref="BF71:BG71"/>
    <mergeCell ref="J131:L132"/>
    <mergeCell ref="BO139:BP139"/>
    <mergeCell ref="BP77:BQ77"/>
    <mergeCell ref="BP82:BQ82"/>
    <mergeCell ref="BP86:BQ86"/>
    <mergeCell ref="BK158:BL158"/>
    <mergeCell ref="BE151:BF151"/>
    <mergeCell ref="BE148:BF148"/>
    <mergeCell ref="BE149:BF149"/>
    <mergeCell ref="BK157:BL157"/>
    <mergeCell ref="BH149:BI150"/>
    <mergeCell ref="AZ177:BA177"/>
    <mergeCell ref="AZ178:BA178"/>
    <mergeCell ref="N137:O140"/>
    <mergeCell ref="N144:U144"/>
    <mergeCell ref="C148:D149"/>
    <mergeCell ref="J171:N171"/>
    <mergeCell ref="J147:L148"/>
    <mergeCell ref="X159:X160"/>
    <mergeCell ref="X158:AC158"/>
    <mergeCell ref="M147:O148"/>
    <mergeCell ref="P147:R148"/>
    <mergeCell ref="X150:AC151"/>
    <mergeCell ref="AB152:AC152"/>
    <mergeCell ref="X148:AC149"/>
    <mergeCell ref="X152:AA152"/>
    <mergeCell ref="T161:U162"/>
    <mergeCell ref="T163:U165"/>
    <mergeCell ref="BJ186:BK187"/>
    <mergeCell ref="J174:L175"/>
    <mergeCell ref="C175:D176"/>
    <mergeCell ref="T175:V175"/>
    <mergeCell ref="J192:J193"/>
    <mergeCell ref="Z175:AB175"/>
    <mergeCell ref="AV189:AW189"/>
    <mergeCell ref="T188:Y189"/>
    <mergeCell ref="AV185:AW185"/>
    <mergeCell ref="AV176:AW176"/>
    <mergeCell ref="AV177:AW177"/>
    <mergeCell ref="AV179:AW179"/>
    <mergeCell ref="AV180:AW180"/>
    <mergeCell ref="BE186:BF187"/>
    <mergeCell ref="BE176:BF176"/>
    <mergeCell ref="T192:Y192"/>
    <mergeCell ref="AZ175:BA175"/>
    <mergeCell ref="AZ180:BA180"/>
    <mergeCell ref="AZ181:BA181"/>
    <mergeCell ref="AZ186:BA187"/>
    <mergeCell ref="AV188:AW188"/>
    <mergeCell ref="AV186:AW186"/>
    <mergeCell ref="M174:O175"/>
    <mergeCell ref="P174:R175"/>
    <mergeCell ref="C243:D244"/>
    <mergeCell ref="C260:D261"/>
    <mergeCell ref="J256:N256"/>
    <mergeCell ref="C199:D200"/>
    <mergeCell ref="M198:O199"/>
    <mergeCell ref="P198:R199"/>
    <mergeCell ref="BF204:BG206"/>
    <mergeCell ref="BF202:BG202"/>
    <mergeCell ref="AV210:AW210"/>
    <mergeCell ref="AV211:AW211"/>
    <mergeCell ref="J211:N212"/>
    <mergeCell ref="AV202:AW203"/>
    <mergeCell ref="P211:S214"/>
    <mergeCell ref="T199:V199"/>
    <mergeCell ref="AZ203:BA203"/>
    <mergeCell ref="BF201:BG201"/>
    <mergeCell ref="AZ233:BA233"/>
    <mergeCell ref="BE233:BF233"/>
    <mergeCell ref="J239:N239"/>
    <mergeCell ref="C221:D222"/>
    <mergeCell ref="T221:V221"/>
    <mergeCell ref="AW226:AX226"/>
    <mergeCell ref="AW227:AX227"/>
    <mergeCell ref="AW228:AX228"/>
    <mergeCell ref="J220:L221"/>
    <mergeCell ref="M220:O221"/>
    <mergeCell ref="P220:R221"/>
    <mergeCell ref="AZ225:BA225"/>
    <mergeCell ref="AW229:AX229"/>
    <mergeCell ref="AW224:AX224"/>
    <mergeCell ref="Y221:Z221"/>
    <mergeCell ref="BE225:BF225"/>
    <mergeCell ref="T260:V260"/>
    <mergeCell ref="BT287:BU287"/>
    <mergeCell ref="BT288:BU288"/>
    <mergeCell ref="J281:L282"/>
    <mergeCell ref="J302:N302"/>
    <mergeCell ref="AW290:AX290"/>
    <mergeCell ref="BA297:BB297"/>
    <mergeCell ref="BA294:BB294"/>
    <mergeCell ref="BA295:BB295"/>
    <mergeCell ref="BA296:BB296"/>
    <mergeCell ref="BA292:BB292"/>
    <mergeCell ref="AW285:AX285"/>
    <mergeCell ref="AW287:AX287"/>
    <mergeCell ref="AW288:AX288"/>
    <mergeCell ref="T282:V282"/>
    <mergeCell ref="Y282:Z282"/>
    <mergeCell ref="BA286:BB286"/>
    <mergeCell ref="BT284:BU284"/>
    <mergeCell ref="BA285:BB285"/>
    <mergeCell ref="BT285:BU285"/>
    <mergeCell ref="BT286:BU286"/>
    <mergeCell ref="Z260:AA260"/>
    <mergeCell ref="BE263:BF263"/>
    <mergeCell ref="C306:D307"/>
    <mergeCell ref="T306:V306"/>
    <mergeCell ref="Y306:Z306"/>
    <mergeCell ref="J305:L306"/>
    <mergeCell ref="BA287:BB287"/>
    <mergeCell ref="AW286:AX286"/>
    <mergeCell ref="BA282:BB282"/>
    <mergeCell ref="BA284:BB284"/>
    <mergeCell ref="AW289:AX289"/>
    <mergeCell ref="C282:D283"/>
    <mergeCell ref="BL307:BM307"/>
    <mergeCell ref="BL308:BM308"/>
    <mergeCell ref="BL310:BM310"/>
    <mergeCell ref="BL311:BM311"/>
    <mergeCell ref="BL313:BM313"/>
    <mergeCell ref="AV310:AW310"/>
    <mergeCell ref="BL314:BM314"/>
    <mergeCell ref="BL316:BM316"/>
    <mergeCell ref="BL317:BM317"/>
    <mergeCell ref="BA308:BE308"/>
    <mergeCell ref="AV308:AW308"/>
    <mergeCell ref="AV309:AW309"/>
    <mergeCell ref="BH314:BI314"/>
    <mergeCell ref="BB316:BE316"/>
    <mergeCell ref="AV316:AW316"/>
    <mergeCell ref="BL319:BM319"/>
    <mergeCell ref="BL320:BM320"/>
    <mergeCell ref="BA315:BE315"/>
    <mergeCell ref="BB311:BE311"/>
    <mergeCell ref="AV311:AW311"/>
    <mergeCell ref="BB312:BE312"/>
    <mergeCell ref="AV317:AW317"/>
    <mergeCell ref="AV318:AW318"/>
    <mergeCell ref="BB327:BE327"/>
    <mergeCell ref="BB313:BE313"/>
    <mergeCell ref="AV327:AW327"/>
    <mergeCell ref="AV326:AW326"/>
    <mergeCell ref="BB320:BE320"/>
    <mergeCell ref="AV319:AW319"/>
    <mergeCell ref="AV320:AW320"/>
    <mergeCell ref="BH321:BI321"/>
    <mergeCell ref="BB324:BE324"/>
    <mergeCell ref="BB325:BE325"/>
    <mergeCell ref="BB326:BE326"/>
    <mergeCell ref="AV321:AW321"/>
    <mergeCell ref="AV323:AW323"/>
    <mergeCell ref="AV324:AW324"/>
    <mergeCell ref="BL322:BM322"/>
    <mergeCell ref="AW231:AX231"/>
    <mergeCell ref="BH306:BI306"/>
    <mergeCell ref="P321:P322"/>
    <mergeCell ref="BB309:BE309"/>
    <mergeCell ref="BB310:BE310"/>
    <mergeCell ref="BA322:BE322"/>
    <mergeCell ref="AV306:AW306"/>
    <mergeCell ref="AV307:AW307"/>
    <mergeCell ref="BB323:BE323"/>
    <mergeCell ref="BB319:BE319"/>
    <mergeCell ref="W308:X308"/>
    <mergeCell ref="AV313:AW313"/>
    <mergeCell ref="AZ263:BA263"/>
    <mergeCell ref="W270:X270"/>
    <mergeCell ref="BE245:BF245"/>
    <mergeCell ref="AV244:AW244"/>
    <mergeCell ref="AZ245:BA245"/>
    <mergeCell ref="AV315:AW315"/>
    <mergeCell ref="J326:N327"/>
    <mergeCell ref="R305:R307"/>
    <mergeCell ref="AV322:AW322"/>
    <mergeCell ref="AB159:AC160"/>
    <mergeCell ref="S270:U270"/>
    <mergeCell ref="P270:Q270"/>
    <mergeCell ref="W59:AC60"/>
    <mergeCell ref="AB67:AC67"/>
    <mergeCell ref="AE79:AG81"/>
    <mergeCell ref="J278:N278"/>
    <mergeCell ref="AV269:AW269"/>
    <mergeCell ref="AV270:AW270"/>
    <mergeCell ref="R273:R274"/>
    <mergeCell ref="J217:N217"/>
    <mergeCell ref="J198:L199"/>
    <mergeCell ref="Y199:Z199"/>
    <mergeCell ref="AV149:AW150"/>
    <mergeCell ref="S86:V87"/>
    <mergeCell ref="N121:O124"/>
    <mergeCell ref="AV251:AW251"/>
    <mergeCell ref="AV252:AW252"/>
    <mergeCell ref="W246:Y246"/>
    <mergeCell ref="W253:Y253"/>
    <mergeCell ref="BK325:BL325"/>
    <mergeCell ref="BH233:BI233"/>
    <mergeCell ref="BB317:BE317"/>
    <mergeCell ref="J10:L11"/>
    <mergeCell ref="N10:P11"/>
    <mergeCell ref="L12:P12"/>
    <mergeCell ref="R27:Y28"/>
    <mergeCell ref="Q10:U10"/>
    <mergeCell ref="Q11:U11"/>
    <mergeCell ref="AW230:AX230"/>
    <mergeCell ref="V52:AA52"/>
    <mergeCell ref="Q39:U40"/>
    <mergeCell ref="W54:Z54"/>
    <mergeCell ref="V57:AC58"/>
    <mergeCell ref="AV312:AW312"/>
    <mergeCell ref="AV248:AW248"/>
    <mergeCell ref="AV247:AW247"/>
    <mergeCell ref="J242:L243"/>
    <mergeCell ref="T243:V243"/>
    <mergeCell ref="Z243:AA243"/>
    <mergeCell ref="AV245:AW245"/>
    <mergeCell ref="J259:L260"/>
    <mergeCell ref="BH246:BI246"/>
    <mergeCell ref="BH263:BI263"/>
  </mergeCells>
  <conditionalFormatting sqref="F121:F125">
    <cfRule type="cellIs" dxfId="74" priority="16" stopIfTrue="1" operator="notEqual">
      <formula>""</formula>
    </cfRule>
  </conditionalFormatting>
  <conditionalFormatting sqref="F136:F140">
    <cfRule type="cellIs" dxfId="73" priority="14" stopIfTrue="1" operator="notEqual">
      <formula>""</formula>
    </cfRule>
  </conditionalFormatting>
  <conditionalFormatting sqref="F81">
    <cfRule type="cellIs" dxfId="72" priority="13" stopIfTrue="1" operator="notEqual">
      <formula>""</formula>
    </cfRule>
  </conditionalFormatting>
  <conditionalFormatting sqref="P70">
    <cfRule type="cellIs" dxfId="71" priority="11" stopIfTrue="1" operator="notEqual">
      <formula>""</formula>
    </cfRule>
  </conditionalFormatting>
  <conditionalFormatting sqref="N121">
    <cfRule type="cellIs" dxfId="70" priority="6" stopIfTrue="1" operator="notEqual">
      <formula>""</formula>
    </cfRule>
  </conditionalFormatting>
  <conditionalFormatting sqref="N137">
    <cfRule type="cellIs" dxfId="69" priority="5" stopIfTrue="1" operator="notEqual">
      <formula>""</formula>
    </cfRule>
  </conditionalFormatting>
  <conditionalFormatting sqref="T163">
    <cfRule type="cellIs" dxfId="68" priority="4" stopIfTrue="1" operator="notEqual">
      <formula>""</formula>
    </cfRule>
  </conditionalFormatting>
  <conditionalFormatting sqref="P211">
    <cfRule type="cellIs" dxfId="67" priority="3" stopIfTrue="1" operator="notEqual">
      <formula>""</formula>
    </cfRule>
  </conditionalFormatting>
  <conditionalFormatting sqref="R305">
    <cfRule type="cellIs" dxfId="66" priority="2" stopIfTrue="1" operator="notEqual">
      <formula>""</formula>
    </cfRule>
  </conditionalFormatting>
  <conditionalFormatting sqref="T88">
    <cfRule type="cellIs" dxfId="65" priority="1" stopIfTrue="1" operator="notEqual">
      <formula>""</formula>
    </cfRule>
  </conditionalFormatting>
  <dataValidations count="1">
    <dataValidation type="list" allowBlank="1" showInputMessage="1" showErrorMessage="1" sqref="X42">
      <formula1>$AW$42:$AW$49</formula1>
    </dataValidation>
  </dataValidations>
  <printOptions horizontalCentered="1"/>
  <pageMargins left="0.31496062992125984" right="0.31496062992125984" top="0.19685039370078741" bottom="0.19685039370078741" header="0.31496062992125984" footer="0.31496062992125984"/>
  <pageSetup paperSize="9" scale="44" fitToHeight="5" orientation="landscape" blackAndWhite="1" r:id="rId1"/>
  <rowBreaks count="1" manualBreakCount="1">
    <brk id="94" min="7" max="2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Option Button 1">
              <controlPr defaultSize="0" autoFill="0" autoLine="0" autoPict="0">
                <anchor moveWithCells="1">
                  <from>
                    <xdr:col>9</xdr:col>
                    <xdr:colOff>638175</xdr:colOff>
                    <xdr:row>41</xdr:row>
                    <xdr:rowOff>190500</xdr:rowOff>
                  </from>
                  <to>
                    <xdr:col>9</xdr:col>
                    <xdr:colOff>1695450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Option Button 2">
              <controlPr defaultSize="0" autoFill="0" autoLine="0" autoPict="0">
                <anchor moveWithCells="1">
                  <from>
                    <xdr:col>13</xdr:col>
                    <xdr:colOff>533400</xdr:colOff>
                    <xdr:row>41</xdr:row>
                    <xdr:rowOff>266700</xdr:rowOff>
                  </from>
                  <to>
                    <xdr:col>13</xdr:col>
                    <xdr:colOff>1962150</xdr:colOff>
                    <xdr:row>42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Group Box 3">
              <controlPr defaultSize="0" autoFill="0" autoPict="0">
                <anchor moveWithCells="1">
                  <from>
                    <xdr:col>10</xdr:col>
                    <xdr:colOff>123825</xdr:colOff>
                    <xdr:row>43</xdr:row>
                    <xdr:rowOff>123825</xdr:rowOff>
                  </from>
                  <to>
                    <xdr:col>11</xdr:col>
                    <xdr:colOff>1857375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Option Button 5">
              <controlPr defaultSize="0" autoFill="0" autoLine="0" autoPict="0">
                <anchor moveWithCells="1">
                  <from>
                    <xdr:col>11</xdr:col>
                    <xdr:colOff>228600</xdr:colOff>
                    <xdr:row>44</xdr:row>
                    <xdr:rowOff>219075</xdr:rowOff>
                  </from>
                  <to>
                    <xdr:col>11</xdr:col>
                    <xdr:colOff>1504950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Option Button 6">
              <controlPr defaultSize="0" autoFill="0" autoLine="0" autoPict="0">
                <anchor moveWithCells="1">
                  <from>
                    <xdr:col>11</xdr:col>
                    <xdr:colOff>228600</xdr:colOff>
                    <xdr:row>45</xdr:row>
                    <xdr:rowOff>200025</xdr:rowOff>
                  </from>
                  <to>
                    <xdr:col>11</xdr:col>
                    <xdr:colOff>1504950</xdr:colOff>
                    <xdr:row>46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Option Button 7">
              <controlPr defaultSize="0" autoFill="0" autoLine="0" autoPict="0">
                <anchor moveWithCells="1">
                  <from>
                    <xdr:col>11</xdr:col>
                    <xdr:colOff>238125</xdr:colOff>
                    <xdr:row>46</xdr:row>
                    <xdr:rowOff>190500</xdr:rowOff>
                  </from>
                  <to>
                    <xdr:col>11</xdr:col>
                    <xdr:colOff>1514475</xdr:colOff>
                    <xdr:row>47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Option Button 8">
              <controlPr defaultSize="0" autoFill="0" autoLine="0" autoPict="0">
                <anchor moveWithCells="1">
                  <from>
                    <xdr:col>11</xdr:col>
                    <xdr:colOff>247650</xdr:colOff>
                    <xdr:row>47</xdr:row>
                    <xdr:rowOff>180975</xdr:rowOff>
                  </from>
                  <to>
                    <xdr:col>11</xdr:col>
                    <xdr:colOff>1524000</xdr:colOff>
                    <xdr:row>48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Option Button 10">
              <controlPr defaultSize="0" autoFill="0" autoLine="0" autoPict="0">
                <anchor moveWithCells="1">
                  <from>
                    <xdr:col>11</xdr:col>
                    <xdr:colOff>219075</xdr:colOff>
                    <xdr:row>49</xdr:row>
                    <xdr:rowOff>114300</xdr:rowOff>
                  </from>
                  <to>
                    <xdr:col>11</xdr:col>
                    <xdr:colOff>1495425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2" name="Group Box 12">
              <controlPr defaultSize="0" autoFill="0" autoPict="0">
                <anchor moveWithCells="1">
                  <from>
                    <xdr:col>19</xdr:col>
                    <xdr:colOff>704850</xdr:colOff>
                    <xdr:row>78</xdr:row>
                    <xdr:rowOff>285750</xdr:rowOff>
                  </from>
                  <to>
                    <xdr:col>21</xdr:col>
                    <xdr:colOff>104775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3" name="Option Button 13">
              <controlPr defaultSize="0" autoFill="0" autoLine="0" autoPict="0">
                <anchor moveWithCells="1">
                  <from>
                    <xdr:col>9</xdr:col>
                    <xdr:colOff>266700</xdr:colOff>
                    <xdr:row>79</xdr:row>
                    <xdr:rowOff>19050</xdr:rowOff>
                  </from>
                  <to>
                    <xdr:col>9</xdr:col>
                    <xdr:colOff>2295525</xdr:colOff>
                    <xdr:row>79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4" name="Option Button 14">
              <controlPr defaultSize="0" autoFill="0" autoLine="0" autoPict="0">
                <anchor moveWithCells="1">
                  <from>
                    <xdr:col>13</xdr:col>
                    <xdr:colOff>581025</xdr:colOff>
                    <xdr:row>79</xdr:row>
                    <xdr:rowOff>47625</xdr:rowOff>
                  </from>
                  <to>
                    <xdr:col>13</xdr:col>
                    <xdr:colOff>1990725</xdr:colOff>
                    <xdr:row>79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5" name="Option Button 15">
              <controlPr defaultSize="0" autoFill="0" autoLine="0" autoPict="0">
                <anchor moveWithCells="1">
                  <from>
                    <xdr:col>15</xdr:col>
                    <xdr:colOff>523875</xdr:colOff>
                    <xdr:row>79</xdr:row>
                    <xdr:rowOff>47625</xdr:rowOff>
                  </from>
                  <to>
                    <xdr:col>16</xdr:col>
                    <xdr:colOff>752475</xdr:colOff>
                    <xdr:row>79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6" name="Group Box 16">
              <controlPr defaultSize="0" autoFill="0" autoPict="0">
                <anchor moveWithCells="1">
                  <from>
                    <xdr:col>9</xdr:col>
                    <xdr:colOff>85725</xdr:colOff>
                    <xdr:row>40</xdr:row>
                    <xdr:rowOff>95250</xdr:rowOff>
                  </from>
                  <to>
                    <xdr:col>16</xdr:col>
                    <xdr:colOff>800100</xdr:colOff>
                    <xdr:row>42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Group Box 17">
              <controlPr defaultSize="0" autoFill="0" autoPict="0">
                <anchor moveWithCells="1">
                  <from>
                    <xdr:col>9</xdr:col>
                    <xdr:colOff>19050</xdr:colOff>
                    <xdr:row>77</xdr:row>
                    <xdr:rowOff>180975</xdr:rowOff>
                  </from>
                  <to>
                    <xdr:col>17</xdr:col>
                    <xdr:colOff>9525</xdr:colOff>
                    <xdr:row>79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Check Box 18">
              <controlPr defaultSize="0" autoFill="0" autoLine="0" autoPict="0">
                <anchor moveWithCells="1">
                  <from>
                    <xdr:col>31</xdr:col>
                    <xdr:colOff>190500</xdr:colOff>
                    <xdr:row>81</xdr:row>
                    <xdr:rowOff>85725</xdr:rowOff>
                  </from>
                  <to>
                    <xdr:col>33</xdr:col>
                    <xdr:colOff>304800</xdr:colOff>
                    <xdr:row>82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9" name="Check Box 19">
              <controlPr defaultSize="0" autoFill="0" autoLine="0" autoPict="0">
                <anchor moveWithCells="1">
                  <from>
                    <xdr:col>9</xdr:col>
                    <xdr:colOff>409575</xdr:colOff>
                    <xdr:row>88</xdr:row>
                    <xdr:rowOff>219075</xdr:rowOff>
                  </from>
                  <to>
                    <xdr:col>9</xdr:col>
                    <xdr:colOff>2200275</xdr:colOff>
                    <xdr:row>89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0" name="Option Button 21">
              <controlPr defaultSize="0" autoFill="0" autoLine="0" autoPict="0">
                <anchor moveWithCells="1">
                  <from>
                    <xdr:col>19</xdr:col>
                    <xdr:colOff>962025</xdr:colOff>
                    <xdr:row>80</xdr:row>
                    <xdr:rowOff>9525</xdr:rowOff>
                  </from>
                  <to>
                    <xdr:col>20</xdr:col>
                    <xdr:colOff>771525</xdr:colOff>
                    <xdr:row>80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1" name="Option Button 22">
              <controlPr defaultSize="0" autoFill="0" autoLine="0" autoPict="0">
                <anchor moveWithCells="1">
                  <from>
                    <xdr:col>19</xdr:col>
                    <xdr:colOff>971550</xdr:colOff>
                    <xdr:row>81</xdr:row>
                    <xdr:rowOff>9525</xdr:rowOff>
                  </from>
                  <to>
                    <xdr:col>20</xdr:col>
                    <xdr:colOff>781050</xdr:colOff>
                    <xdr:row>81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2" name="Option Button 23">
              <controlPr defaultSize="0" autoFill="0" autoLine="0" autoPict="0">
                <anchor moveWithCells="1">
                  <from>
                    <xdr:col>19</xdr:col>
                    <xdr:colOff>971550</xdr:colOff>
                    <xdr:row>81</xdr:row>
                    <xdr:rowOff>285750</xdr:rowOff>
                  </from>
                  <to>
                    <xdr:col>20</xdr:col>
                    <xdr:colOff>781050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3" name="Option Button 24">
              <controlPr defaultSize="0" autoFill="0" autoLine="0" autoPict="0">
                <anchor moveWithCells="1">
                  <from>
                    <xdr:col>19</xdr:col>
                    <xdr:colOff>981075</xdr:colOff>
                    <xdr:row>82</xdr:row>
                    <xdr:rowOff>276225</xdr:rowOff>
                  </from>
                  <to>
                    <xdr:col>20</xdr:col>
                    <xdr:colOff>790575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4" name="Option Button 25">
              <controlPr defaultSize="0" autoFill="0" autoLine="0" autoPict="0">
                <anchor moveWithCells="1">
                  <from>
                    <xdr:col>19</xdr:col>
                    <xdr:colOff>981075</xdr:colOff>
                    <xdr:row>83</xdr:row>
                    <xdr:rowOff>266700</xdr:rowOff>
                  </from>
                  <to>
                    <xdr:col>20</xdr:col>
                    <xdr:colOff>790575</xdr:colOff>
                    <xdr:row>84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5" name="Group Box 27">
              <controlPr defaultSize="0" autoFill="0" autoPict="0">
                <anchor moveWithCells="1">
                  <from>
                    <xdr:col>15</xdr:col>
                    <xdr:colOff>333375</xdr:colOff>
                    <xdr:row>116</xdr:row>
                    <xdr:rowOff>152400</xdr:rowOff>
                  </from>
                  <to>
                    <xdr:col>18</xdr:col>
                    <xdr:colOff>28575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26" name="Group Box 28">
              <controlPr defaultSize="0" autoFill="0" autoPict="0">
                <anchor moveWithCells="1">
                  <from>
                    <xdr:col>9</xdr:col>
                    <xdr:colOff>19050</xdr:colOff>
                    <xdr:row>116</xdr:row>
                    <xdr:rowOff>180975</xdr:rowOff>
                  </from>
                  <to>
                    <xdr:col>12</xdr:col>
                    <xdr:colOff>66675</xdr:colOff>
                    <xdr:row>118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27" name="Group Box 30">
              <controlPr defaultSize="0" autoFill="0" autoPict="0">
                <anchor moveWithCells="1">
                  <from>
                    <xdr:col>9</xdr:col>
                    <xdr:colOff>19050</xdr:colOff>
                    <xdr:row>58</xdr:row>
                    <xdr:rowOff>180975</xdr:rowOff>
                  </from>
                  <to>
                    <xdr:col>13</xdr:col>
                    <xdr:colOff>2314575</xdr:colOff>
                    <xdr:row>60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28" name="Option Button 35">
              <controlPr defaultSize="0" autoFill="0" autoLine="0" autoPict="0">
                <anchor moveWithCells="1">
                  <from>
                    <xdr:col>9</xdr:col>
                    <xdr:colOff>676275</xdr:colOff>
                    <xdr:row>118</xdr:row>
                    <xdr:rowOff>28575</xdr:rowOff>
                  </from>
                  <to>
                    <xdr:col>9</xdr:col>
                    <xdr:colOff>2314575</xdr:colOff>
                    <xdr:row>118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29" name="Option Button 36">
              <controlPr defaultSize="0" autoFill="0" autoLine="0" autoPict="0">
                <anchor moveWithCells="1">
                  <from>
                    <xdr:col>11</xdr:col>
                    <xdr:colOff>762000</xdr:colOff>
                    <xdr:row>118</xdr:row>
                    <xdr:rowOff>28575</xdr:rowOff>
                  </from>
                  <to>
                    <xdr:col>12</xdr:col>
                    <xdr:colOff>19050</xdr:colOff>
                    <xdr:row>118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0" name="Option Button 37">
              <controlPr defaultSize="0" autoFill="0" autoLine="0" autoPict="0">
                <anchor moveWithCells="1">
                  <from>
                    <xdr:col>16</xdr:col>
                    <xdr:colOff>228600</xdr:colOff>
                    <xdr:row>119</xdr:row>
                    <xdr:rowOff>38100</xdr:rowOff>
                  </from>
                  <to>
                    <xdr:col>17</xdr:col>
                    <xdr:colOff>152400</xdr:colOff>
                    <xdr:row>119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31" name="Option Button 38">
              <controlPr defaultSize="0" autoFill="0" autoLine="0" autoPict="0">
                <anchor moveWithCells="1">
                  <from>
                    <xdr:col>16</xdr:col>
                    <xdr:colOff>219075</xdr:colOff>
                    <xdr:row>120</xdr:row>
                    <xdr:rowOff>19050</xdr:rowOff>
                  </from>
                  <to>
                    <xdr:col>17</xdr:col>
                    <xdr:colOff>161925</xdr:colOff>
                    <xdr:row>120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32" name="Option Button 39">
              <controlPr defaultSize="0" autoFill="0" autoLine="0" autoPict="0">
                <anchor moveWithCells="1">
                  <from>
                    <xdr:col>16</xdr:col>
                    <xdr:colOff>219075</xdr:colOff>
                    <xdr:row>120</xdr:row>
                    <xdr:rowOff>285750</xdr:rowOff>
                  </from>
                  <to>
                    <xdr:col>17</xdr:col>
                    <xdr:colOff>123825</xdr:colOff>
                    <xdr:row>121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33" name="Option Button 40">
              <controlPr defaultSize="0" autoFill="0" autoLine="0" autoPict="0">
                <anchor moveWithCells="1">
                  <from>
                    <xdr:col>16</xdr:col>
                    <xdr:colOff>209550</xdr:colOff>
                    <xdr:row>121</xdr:row>
                    <xdr:rowOff>285750</xdr:rowOff>
                  </from>
                  <to>
                    <xdr:col>17</xdr:col>
                    <xdr:colOff>85725</xdr:colOff>
                    <xdr:row>122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34" name="Check Box 41">
              <controlPr defaultSize="0" autoFill="0" autoLine="0" autoPict="0">
                <anchor moveWithCells="1">
                  <from>
                    <xdr:col>22</xdr:col>
                    <xdr:colOff>523875</xdr:colOff>
                    <xdr:row>116</xdr:row>
                    <xdr:rowOff>38100</xdr:rowOff>
                  </from>
                  <to>
                    <xdr:col>27</xdr:col>
                    <xdr:colOff>190500</xdr:colOff>
                    <xdr:row>117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35" name="Group Box 44">
              <controlPr defaultSize="0" autoFill="0" autoPict="0">
                <anchor moveWithCells="1">
                  <from>
                    <xdr:col>22</xdr:col>
                    <xdr:colOff>161925</xdr:colOff>
                    <xdr:row>118</xdr:row>
                    <xdr:rowOff>171450</xdr:rowOff>
                  </from>
                  <to>
                    <xdr:col>27</xdr:col>
                    <xdr:colOff>942975</xdr:colOff>
                    <xdr:row>121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36" name="Option Button 45">
              <controlPr defaultSize="0" autoFill="0" autoLine="0" autoPict="0">
                <anchor moveWithCells="1">
                  <from>
                    <xdr:col>22</xdr:col>
                    <xdr:colOff>962025</xdr:colOff>
                    <xdr:row>118</xdr:row>
                    <xdr:rowOff>314325</xdr:rowOff>
                  </from>
                  <to>
                    <xdr:col>27</xdr:col>
                    <xdr:colOff>381000</xdr:colOff>
                    <xdr:row>119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37" name="Option Button 46">
              <controlPr defaultSize="0" autoFill="0" autoLine="0" autoPict="0">
                <anchor moveWithCells="1">
                  <from>
                    <xdr:col>22</xdr:col>
                    <xdr:colOff>962025</xdr:colOff>
                    <xdr:row>119</xdr:row>
                    <xdr:rowOff>85725</xdr:rowOff>
                  </from>
                  <to>
                    <xdr:col>27</xdr:col>
                    <xdr:colOff>381000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38" name="Option Button 47">
              <controlPr defaultSize="0" autoFill="0" autoLine="0" autoPict="0">
                <anchor moveWithCells="1">
                  <from>
                    <xdr:col>15</xdr:col>
                    <xdr:colOff>533400</xdr:colOff>
                    <xdr:row>117</xdr:row>
                    <xdr:rowOff>209550</xdr:rowOff>
                  </from>
                  <to>
                    <xdr:col>16</xdr:col>
                    <xdr:colOff>638175</xdr:colOff>
                    <xdr:row>118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39" name="Option Button 48">
              <controlPr defaultSize="0" autoFill="0" autoLine="0" autoPict="0">
                <anchor moveWithCells="1">
                  <from>
                    <xdr:col>19</xdr:col>
                    <xdr:colOff>1076325</xdr:colOff>
                    <xdr:row>79</xdr:row>
                    <xdr:rowOff>123825</xdr:rowOff>
                  </from>
                  <to>
                    <xdr:col>21</xdr:col>
                    <xdr:colOff>19050</xdr:colOff>
                    <xdr:row>79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40" name="Option Button 49">
              <controlPr defaultSize="0" autoFill="0" autoLine="0" autoPict="0">
                <anchor moveWithCells="1">
                  <from>
                    <xdr:col>9</xdr:col>
                    <xdr:colOff>304800</xdr:colOff>
                    <xdr:row>60</xdr:row>
                    <xdr:rowOff>76200</xdr:rowOff>
                  </from>
                  <to>
                    <xdr:col>9</xdr:col>
                    <xdr:colOff>1695450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41" name="Option Button 50">
              <controlPr defaultSize="0" autoFill="0" autoLine="0" autoPict="0">
                <anchor moveWithCells="1">
                  <from>
                    <xdr:col>11</xdr:col>
                    <xdr:colOff>361950</xdr:colOff>
                    <xdr:row>60</xdr:row>
                    <xdr:rowOff>76200</xdr:rowOff>
                  </from>
                  <to>
                    <xdr:col>11</xdr:col>
                    <xdr:colOff>1752600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42" name="Option Button 51">
              <controlPr defaultSize="0" autoFill="0" autoLine="0" autoPict="0">
                <anchor moveWithCells="1">
                  <from>
                    <xdr:col>13</xdr:col>
                    <xdr:colOff>485775</xdr:colOff>
                    <xdr:row>60</xdr:row>
                    <xdr:rowOff>85725</xdr:rowOff>
                  </from>
                  <to>
                    <xdr:col>13</xdr:col>
                    <xdr:colOff>1876425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43" name="Group Box 52">
              <controlPr defaultSize="0" autoFill="0" autoPict="0">
                <anchor moveWithCells="1">
                  <from>
                    <xdr:col>15</xdr:col>
                    <xdr:colOff>247650</xdr:colOff>
                    <xdr:row>60</xdr:row>
                    <xdr:rowOff>171450</xdr:rowOff>
                  </from>
                  <to>
                    <xdr:col>16</xdr:col>
                    <xdr:colOff>1104900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44" name="Option Button 53">
              <controlPr defaultSize="0" autoFill="0" autoLine="0" autoPict="0">
                <anchor moveWithCells="1">
                  <from>
                    <xdr:col>15</xdr:col>
                    <xdr:colOff>714375</xdr:colOff>
                    <xdr:row>62</xdr:row>
                    <xdr:rowOff>142875</xdr:rowOff>
                  </from>
                  <to>
                    <xdr:col>16</xdr:col>
                    <xdr:colOff>781050</xdr:colOff>
                    <xdr:row>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45" name="Option Button 54">
              <controlPr defaultSize="0" autoFill="0" autoLine="0" autoPict="0">
                <anchor moveWithCells="1">
                  <from>
                    <xdr:col>15</xdr:col>
                    <xdr:colOff>704850</xdr:colOff>
                    <xdr:row>63</xdr:row>
                    <xdr:rowOff>152400</xdr:rowOff>
                  </from>
                  <to>
                    <xdr:col>16</xdr:col>
                    <xdr:colOff>771525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46" name="Option Button 55">
              <controlPr defaultSize="0" autoFill="0" autoLine="0" autoPict="0">
                <anchor moveWithCells="1">
                  <from>
                    <xdr:col>15</xdr:col>
                    <xdr:colOff>704850</xdr:colOff>
                    <xdr:row>64</xdr:row>
                    <xdr:rowOff>171450</xdr:rowOff>
                  </from>
                  <to>
                    <xdr:col>16</xdr:col>
                    <xdr:colOff>771525</xdr:colOff>
                    <xdr:row>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47" name="Option Button 56">
              <controlPr defaultSize="0" autoFill="0" autoLine="0" autoPict="0">
                <anchor moveWithCells="1">
                  <from>
                    <xdr:col>15</xdr:col>
                    <xdr:colOff>714375</xdr:colOff>
                    <xdr:row>65</xdr:row>
                    <xdr:rowOff>190500</xdr:rowOff>
                  </from>
                  <to>
                    <xdr:col>16</xdr:col>
                    <xdr:colOff>781050</xdr:colOff>
                    <xdr:row>66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48" name="Option Button 57">
              <controlPr defaultSize="0" autoFill="0" autoLine="0" autoPict="0">
                <anchor moveWithCells="1">
                  <from>
                    <xdr:col>15</xdr:col>
                    <xdr:colOff>723900</xdr:colOff>
                    <xdr:row>66</xdr:row>
                    <xdr:rowOff>209550</xdr:rowOff>
                  </from>
                  <to>
                    <xdr:col>16</xdr:col>
                    <xdr:colOff>790575</xdr:colOff>
                    <xdr:row>67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49" name="Check Box 59">
              <controlPr defaultSize="0" autoFill="0" autoLine="0" autoPict="0">
                <anchor moveWithCells="1">
                  <from>
                    <xdr:col>27</xdr:col>
                    <xdr:colOff>190500</xdr:colOff>
                    <xdr:row>60</xdr:row>
                    <xdr:rowOff>76200</xdr:rowOff>
                  </from>
                  <to>
                    <xdr:col>28</xdr:col>
                    <xdr:colOff>933450</xdr:colOff>
                    <xdr:row>60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50" name="Group Box 62">
              <controlPr defaultSize="0" autoFill="0" autoPict="0">
                <anchor moveWithCells="1">
                  <from>
                    <xdr:col>26</xdr:col>
                    <xdr:colOff>47625</xdr:colOff>
                    <xdr:row>61</xdr:row>
                    <xdr:rowOff>95250</xdr:rowOff>
                  </from>
                  <to>
                    <xdr:col>28</xdr:col>
                    <xdr:colOff>666750</xdr:colOff>
                    <xdr:row>64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51" name="Option Button 63">
              <controlPr defaultSize="0" autoFill="0" autoLine="0" autoPict="0">
                <anchor moveWithCells="1">
                  <from>
                    <xdr:col>27</xdr:col>
                    <xdr:colOff>381000</xdr:colOff>
                    <xdr:row>62</xdr:row>
                    <xdr:rowOff>152400</xdr:rowOff>
                  </from>
                  <to>
                    <xdr:col>28</xdr:col>
                    <xdr:colOff>152400</xdr:colOff>
                    <xdr:row>63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52" name="Option Button 64">
              <controlPr defaultSize="0" autoFill="0" autoLine="0" autoPict="0">
                <anchor moveWithCells="1">
                  <from>
                    <xdr:col>27</xdr:col>
                    <xdr:colOff>390525</xdr:colOff>
                    <xdr:row>63</xdr:row>
                    <xdr:rowOff>47625</xdr:rowOff>
                  </from>
                  <to>
                    <xdr:col>28</xdr:col>
                    <xdr:colOff>161925</xdr:colOff>
                    <xdr:row>63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53" name="Check Box 65">
              <controlPr defaultSize="0" autoFill="0" autoLine="0" autoPict="0">
                <anchor moveWithCells="1">
                  <from>
                    <xdr:col>22</xdr:col>
                    <xdr:colOff>219075</xdr:colOff>
                    <xdr:row>60</xdr:row>
                    <xdr:rowOff>104775</xdr:rowOff>
                  </from>
                  <to>
                    <xdr:col>23</xdr:col>
                    <xdr:colOff>619125</xdr:colOff>
                    <xdr:row>60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54" name="Group Box 66">
              <controlPr defaultSize="0" autoFill="0" autoPict="0">
                <anchor moveWithCells="1">
                  <from>
                    <xdr:col>22</xdr:col>
                    <xdr:colOff>57150</xdr:colOff>
                    <xdr:row>61</xdr:row>
                    <xdr:rowOff>171450</xdr:rowOff>
                  </from>
                  <to>
                    <xdr:col>23</xdr:col>
                    <xdr:colOff>371475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55" name="Option Button 67">
              <controlPr defaultSize="0" autoFill="0" autoLine="0" autoPict="0">
                <anchor moveWithCells="1">
                  <from>
                    <xdr:col>22</xdr:col>
                    <xdr:colOff>228600</xdr:colOff>
                    <xdr:row>62</xdr:row>
                    <xdr:rowOff>76200</xdr:rowOff>
                  </from>
                  <to>
                    <xdr:col>22</xdr:col>
                    <xdr:colOff>981075</xdr:colOff>
                    <xdr:row>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56" name="Option Button 68">
              <controlPr defaultSize="0" autoFill="0" autoLine="0" autoPict="0">
                <anchor moveWithCells="1">
                  <from>
                    <xdr:col>22</xdr:col>
                    <xdr:colOff>200025</xdr:colOff>
                    <xdr:row>63</xdr:row>
                    <xdr:rowOff>19050</xdr:rowOff>
                  </from>
                  <to>
                    <xdr:col>22</xdr:col>
                    <xdr:colOff>962025</xdr:colOff>
                    <xdr:row>63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57" name="Group Box 195">
              <controlPr defaultSize="0" autoFill="0" autoPict="0">
                <anchor moveWithCells="1">
                  <from>
                    <xdr:col>15</xdr:col>
                    <xdr:colOff>114300</xdr:colOff>
                    <xdr:row>133</xdr:row>
                    <xdr:rowOff>19050</xdr:rowOff>
                  </from>
                  <to>
                    <xdr:col>17</xdr:col>
                    <xdr:colOff>161925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58" name="Group Box 196">
              <controlPr defaultSize="0" autoFill="0" autoPict="0">
                <anchor moveWithCells="1">
                  <from>
                    <xdr:col>9</xdr:col>
                    <xdr:colOff>19050</xdr:colOff>
                    <xdr:row>132</xdr:row>
                    <xdr:rowOff>180975</xdr:rowOff>
                  </from>
                  <to>
                    <xdr:col>12</xdr:col>
                    <xdr:colOff>9525</xdr:colOff>
                    <xdr:row>134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59" name="Option Button 197">
              <controlPr defaultSize="0" autoFill="0" autoLine="0" autoPict="0">
                <anchor moveWithCells="1">
                  <from>
                    <xdr:col>9</xdr:col>
                    <xdr:colOff>723900</xdr:colOff>
                    <xdr:row>134</xdr:row>
                    <xdr:rowOff>0</xdr:rowOff>
                  </from>
                  <to>
                    <xdr:col>9</xdr:col>
                    <xdr:colOff>2362200</xdr:colOff>
                    <xdr:row>134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60" name="Option Button 200">
              <controlPr defaultSize="0" autoFill="0" autoLine="0" autoPict="0">
                <anchor moveWithCells="1">
                  <from>
                    <xdr:col>15</xdr:col>
                    <xdr:colOff>800100</xdr:colOff>
                    <xdr:row>135</xdr:row>
                    <xdr:rowOff>238125</xdr:rowOff>
                  </from>
                  <to>
                    <xdr:col>16</xdr:col>
                    <xdr:colOff>762000</xdr:colOff>
                    <xdr:row>136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61" name="Option Button 202">
              <controlPr defaultSize="0" autoFill="0" autoLine="0" autoPict="0">
                <anchor moveWithCells="1">
                  <from>
                    <xdr:col>15</xdr:col>
                    <xdr:colOff>800100</xdr:colOff>
                    <xdr:row>136</xdr:row>
                    <xdr:rowOff>190500</xdr:rowOff>
                  </from>
                  <to>
                    <xdr:col>16</xdr:col>
                    <xdr:colOff>771525</xdr:colOff>
                    <xdr:row>137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62" name="Option Button 207">
              <controlPr defaultSize="0" autoFill="0" autoLine="0" autoPict="0">
                <anchor moveWithCells="1">
                  <from>
                    <xdr:col>15</xdr:col>
                    <xdr:colOff>800100</xdr:colOff>
                    <xdr:row>137</xdr:row>
                    <xdr:rowOff>133350</xdr:rowOff>
                  </from>
                  <to>
                    <xdr:col>16</xdr:col>
                    <xdr:colOff>704850</xdr:colOff>
                    <xdr:row>138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63" name="Option Button 209">
              <controlPr defaultSize="0" autoFill="0" autoLine="0" autoPict="0">
                <anchor moveWithCells="1">
                  <from>
                    <xdr:col>11</xdr:col>
                    <xdr:colOff>428625</xdr:colOff>
                    <xdr:row>134</xdr:row>
                    <xdr:rowOff>28575</xdr:rowOff>
                  </from>
                  <to>
                    <xdr:col>11</xdr:col>
                    <xdr:colOff>2000250</xdr:colOff>
                    <xdr:row>134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64" name="Option Button 210">
              <controlPr defaultSize="0" autoFill="0" autoLine="0" autoPict="0">
                <anchor moveWithCells="1">
                  <from>
                    <xdr:col>9</xdr:col>
                    <xdr:colOff>2019300</xdr:colOff>
                    <xdr:row>117</xdr:row>
                    <xdr:rowOff>57150</xdr:rowOff>
                  </from>
                  <to>
                    <xdr:col>11</xdr:col>
                    <xdr:colOff>1038225</xdr:colOff>
                    <xdr:row>117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65" name="Option Button 211">
              <controlPr defaultSize="0" autoFill="0" autoLine="0" autoPict="0">
                <anchor moveWithCells="1">
                  <from>
                    <xdr:col>11</xdr:col>
                    <xdr:colOff>352425</xdr:colOff>
                    <xdr:row>58</xdr:row>
                    <xdr:rowOff>180975</xdr:rowOff>
                  </from>
                  <to>
                    <xdr:col>11</xdr:col>
                    <xdr:colOff>1752600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66" name="Option Button 212">
              <controlPr defaultSize="0" autoFill="0" autoLine="0" autoPict="0">
                <anchor moveWithCells="1">
                  <from>
                    <xdr:col>11</xdr:col>
                    <xdr:colOff>171450</xdr:colOff>
                    <xdr:row>79</xdr:row>
                    <xdr:rowOff>66675</xdr:rowOff>
                  </from>
                  <to>
                    <xdr:col>11</xdr:col>
                    <xdr:colOff>2209800</xdr:colOff>
                    <xdr:row>79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67" name="Group Box 214">
              <controlPr defaultSize="0" autoFill="0" autoPict="0">
                <anchor moveWithCells="1">
                  <from>
                    <xdr:col>9</xdr:col>
                    <xdr:colOff>57150</xdr:colOff>
                    <xdr:row>97</xdr:row>
                    <xdr:rowOff>152400</xdr:rowOff>
                  </from>
                  <to>
                    <xdr:col>14</xdr:col>
                    <xdr:colOff>85725</xdr:colOff>
                    <xdr:row>99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68" name="Option Button 222">
              <controlPr defaultSize="0" autoFill="0" autoLine="0" autoPict="0">
                <anchor moveWithCells="1">
                  <from>
                    <xdr:col>9</xdr:col>
                    <xdr:colOff>819150</xdr:colOff>
                    <xdr:row>98</xdr:row>
                    <xdr:rowOff>276225</xdr:rowOff>
                  </from>
                  <to>
                    <xdr:col>9</xdr:col>
                    <xdr:colOff>2343150</xdr:colOff>
                    <xdr:row>99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69" name="Option Button 223">
              <controlPr defaultSize="0" autoFill="0" autoLine="0" autoPict="0">
                <anchor moveWithCells="1">
                  <from>
                    <xdr:col>11</xdr:col>
                    <xdr:colOff>666750</xdr:colOff>
                    <xdr:row>99</xdr:row>
                    <xdr:rowOff>9525</xdr:rowOff>
                  </from>
                  <to>
                    <xdr:col>11</xdr:col>
                    <xdr:colOff>2314575</xdr:colOff>
                    <xdr:row>99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70" name="Option Button 224">
              <controlPr defaultSize="0" autoFill="0" autoLine="0" autoPict="0">
                <anchor moveWithCells="1">
                  <from>
                    <xdr:col>13</xdr:col>
                    <xdr:colOff>647700</xdr:colOff>
                    <xdr:row>99</xdr:row>
                    <xdr:rowOff>19050</xdr:rowOff>
                  </from>
                  <to>
                    <xdr:col>13</xdr:col>
                    <xdr:colOff>1847850</xdr:colOff>
                    <xdr:row>99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71" name="Check Box 228">
              <controlPr defaultSize="0" autoFill="0" autoLine="0" autoPict="0">
                <anchor moveWithCells="1">
                  <from>
                    <xdr:col>33</xdr:col>
                    <xdr:colOff>228600</xdr:colOff>
                    <xdr:row>66</xdr:row>
                    <xdr:rowOff>57150</xdr:rowOff>
                  </from>
                  <to>
                    <xdr:col>35</xdr:col>
                    <xdr:colOff>847725</xdr:colOff>
                    <xdr:row>66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72" name="Group Box 230">
              <controlPr defaultSize="0" autoFill="0" autoPict="0">
                <anchor moveWithCells="1">
                  <from>
                    <xdr:col>22</xdr:col>
                    <xdr:colOff>0</xdr:colOff>
                    <xdr:row>43</xdr:row>
                    <xdr:rowOff>285750</xdr:rowOff>
                  </from>
                  <to>
                    <xdr:col>25</xdr:col>
                    <xdr:colOff>38100</xdr:colOff>
                    <xdr:row>50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73" name="Option Button 231">
              <controlPr defaultSize="0" autoFill="0" autoLine="0" autoPict="0">
                <anchor moveWithCells="1">
                  <from>
                    <xdr:col>22</xdr:col>
                    <xdr:colOff>590550</xdr:colOff>
                    <xdr:row>44</xdr:row>
                    <xdr:rowOff>114300</xdr:rowOff>
                  </from>
                  <to>
                    <xdr:col>23</xdr:col>
                    <xdr:colOff>1190625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74" name="Option Button 232">
              <controlPr defaultSize="0" autoFill="0" autoLine="0" autoPict="0">
                <anchor moveWithCells="1">
                  <from>
                    <xdr:col>22</xdr:col>
                    <xdr:colOff>600075</xdr:colOff>
                    <xdr:row>44</xdr:row>
                    <xdr:rowOff>266700</xdr:rowOff>
                  </from>
                  <to>
                    <xdr:col>23</xdr:col>
                    <xdr:colOff>1209675</xdr:colOff>
                    <xdr:row>45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75" name="Option Button 234">
              <controlPr defaultSize="0" autoFill="0" autoLine="0" autoPict="0">
                <anchor moveWithCells="1">
                  <from>
                    <xdr:col>22</xdr:col>
                    <xdr:colOff>561975</xdr:colOff>
                    <xdr:row>46</xdr:row>
                    <xdr:rowOff>228600</xdr:rowOff>
                  </from>
                  <to>
                    <xdr:col>23</xdr:col>
                    <xdr:colOff>581025</xdr:colOff>
                    <xdr:row>47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76" name="Option Button 235">
              <controlPr defaultSize="0" autoFill="0" autoLine="0" autoPict="0">
                <anchor moveWithCells="1">
                  <from>
                    <xdr:col>22</xdr:col>
                    <xdr:colOff>552450</xdr:colOff>
                    <xdr:row>47</xdr:row>
                    <xdr:rowOff>142875</xdr:rowOff>
                  </from>
                  <to>
                    <xdr:col>23</xdr:col>
                    <xdr:colOff>771525</xdr:colOff>
                    <xdr:row>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77" name="Option Button 236">
              <controlPr defaultSize="0" autoFill="0" autoLine="0" autoPict="0">
                <anchor moveWithCells="1">
                  <from>
                    <xdr:col>22</xdr:col>
                    <xdr:colOff>561975</xdr:colOff>
                    <xdr:row>48</xdr:row>
                    <xdr:rowOff>19050</xdr:rowOff>
                  </from>
                  <to>
                    <xdr:col>23</xdr:col>
                    <xdr:colOff>323850</xdr:colOff>
                    <xdr:row>48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78" name="Option Button 237">
              <controlPr defaultSize="0" autoFill="0" autoLine="0" autoPict="0">
                <anchor moveWithCells="1">
                  <from>
                    <xdr:col>22</xdr:col>
                    <xdr:colOff>257175</xdr:colOff>
                    <xdr:row>49</xdr:row>
                    <xdr:rowOff>47625</xdr:rowOff>
                  </from>
                  <to>
                    <xdr:col>23</xdr:col>
                    <xdr:colOff>1028700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79" name="Check Box 240">
              <controlPr defaultSize="0" autoFill="0" autoLine="0" autoPict="0">
                <anchor moveWithCells="1">
                  <from>
                    <xdr:col>31</xdr:col>
                    <xdr:colOff>85725</xdr:colOff>
                    <xdr:row>66</xdr:row>
                    <xdr:rowOff>123825</xdr:rowOff>
                  </from>
                  <to>
                    <xdr:col>32</xdr:col>
                    <xdr:colOff>723900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80" name="Group Box 241">
              <controlPr defaultSize="0" autoFill="0" autoPict="0">
                <anchor moveWithCells="1">
                  <from>
                    <xdr:col>33</xdr:col>
                    <xdr:colOff>123825</xdr:colOff>
                    <xdr:row>65</xdr:row>
                    <xdr:rowOff>66675</xdr:rowOff>
                  </from>
                  <to>
                    <xdr:col>42</xdr:col>
                    <xdr:colOff>171450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81" name="Group Box 242">
              <controlPr defaultSize="0" autoFill="0" autoPict="0">
                <anchor moveWithCells="1">
                  <from>
                    <xdr:col>8</xdr:col>
                    <xdr:colOff>247650</xdr:colOff>
                    <xdr:row>88</xdr:row>
                    <xdr:rowOff>66675</xdr:rowOff>
                  </from>
                  <to>
                    <xdr:col>9</xdr:col>
                    <xdr:colOff>2371725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82" name="Option Button 245">
              <controlPr defaultSize="0" autoFill="0" autoLine="0" autoPict="0">
                <anchor moveWithCells="1">
                  <from>
                    <xdr:col>24</xdr:col>
                    <xdr:colOff>142875</xdr:colOff>
                    <xdr:row>120</xdr:row>
                    <xdr:rowOff>28575</xdr:rowOff>
                  </from>
                  <to>
                    <xdr:col>27</xdr:col>
                    <xdr:colOff>790575</xdr:colOff>
                    <xdr:row>120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83" name="Check Box 246">
              <controlPr defaultSize="0" autoFill="0" autoLine="0" autoPict="0">
                <anchor moveWithCells="1">
                  <from>
                    <xdr:col>22</xdr:col>
                    <xdr:colOff>495300</xdr:colOff>
                    <xdr:row>42</xdr:row>
                    <xdr:rowOff>333375</xdr:rowOff>
                  </from>
                  <to>
                    <xdr:col>23</xdr:col>
                    <xdr:colOff>1181100</xdr:colOff>
                    <xdr:row>43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84" name="Option Button 247">
              <controlPr defaultSize="0" autoFill="0" autoLine="0" autoPict="0">
                <anchor moveWithCells="1">
                  <from>
                    <xdr:col>13</xdr:col>
                    <xdr:colOff>533400</xdr:colOff>
                    <xdr:row>41</xdr:row>
                    <xdr:rowOff>123825</xdr:rowOff>
                  </from>
                  <to>
                    <xdr:col>13</xdr:col>
                    <xdr:colOff>2105025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85" name="Check Box 249">
              <controlPr defaultSize="0" autoFill="0" autoLine="0" autoPict="0">
                <anchor moveWithCells="1">
                  <from>
                    <xdr:col>15</xdr:col>
                    <xdr:colOff>476250</xdr:colOff>
                    <xdr:row>58</xdr:row>
                    <xdr:rowOff>161925</xdr:rowOff>
                  </from>
                  <to>
                    <xdr:col>17</xdr:col>
                    <xdr:colOff>76200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86" name="Group Box 253">
              <controlPr defaultSize="0" autoFill="0" autoPict="0">
                <anchor moveWithCells="1">
                  <from>
                    <xdr:col>28</xdr:col>
                    <xdr:colOff>962025</xdr:colOff>
                    <xdr:row>76</xdr:row>
                    <xdr:rowOff>171450</xdr:rowOff>
                  </from>
                  <to>
                    <xdr:col>34</xdr:col>
                    <xdr:colOff>219075</xdr:colOff>
                    <xdr:row>93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87" name="Check Box 254">
              <controlPr defaultSize="0" autoFill="0" autoLine="0" autoPict="0">
                <anchor moveWithCells="1">
                  <from>
                    <xdr:col>24</xdr:col>
                    <xdr:colOff>19050</xdr:colOff>
                    <xdr:row>79</xdr:row>
                    <xdr:rowOff>57150</xdr:rowOff>
                  </from>
                  <to>
                    <xdr:col>28</xdr:col>
                    <xdr:colOff>9525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88" name="Group Box 255">
              <controlPr defaultSize="0" autoFill="0" autoPict="0">
                <anchor moveWithCells="1">
                  <from>
                    <xdr:col>23</xdr:col>
                    <xdr:colOff>847725</xdr:colOff>
                    <xdr:row>86</xdr:row>
                    <xdr:rowOff>228600</xdr:rowOff>
                  </from>
                  <to>
                    <xdr:col>28</xdr:col>
                    <xdr:colOff>247650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89" name="Option Button 256">
              <controlPr defaultSize="0" autoFill="0" autoLine="0" autoPict="0">
                <anchor moveWithCells="1">
                  <from>
                    <xdr:col>24</xdr:col>
                    <xdr:colOff>190500</xdr:colOff>
                    <xdr:row>88</xdr:row>
                    <xdr:rowOff>66675</xdr:rowOff>
                  </from>
                  <to>
                    <xdr:col>28</xdr:col>
                    <xdr:colOff>180975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90" name="Option Button 257">
              <controlPr defaultSize="0" autoFill="0" autoLine="0" autoPict="0">
                <anchor moveWithCells="1">
                  <from>
                    <xdr:col>24</xdr:col>
                    <xdr:colOff>190500</xdr:colOff>
                    <xdr:row>88</xdr:row>
                    <xdr:rowOff>257175</xdr:rowOff>
                  </from>
                  <to>
                    <xdr:col>27</xdr:col>
                    <xdr:colOff>666750</xdr:colOff>
                    <xdr:row>89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91" name="Option Button 258">
              <controlPr defaultSize="0" autoFill="0" autoLine="0" autoPict="0">
                <anchor moveWithCells="1">
                  <from>
                    <xdr:col>24</xdr:col>
                    <xdr:colOff>219075</xdr:colOff>
                    <xdr:row>90</xdr:row>
                    <xdr:rowOff>209550</xdr:rowOff>
                  </from>
                  <to>
                    <xdr:col>27</xdr:col>
                    <xdr:colOff>714375</xdr:colOff>
                    <xdr:row>91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92" name="Group Box 259">
              <controlPr defaultSize="0" autoFill="0" autoPict="0">
                <anchor moveWithCells="1">
                  <from>
                    <xdr:col>15</xdr:col>
                    <xdr:colOff>171450</xdr:colOff>
                    <xdr:row>43</xdr:row>
                    <xdr:rowOff>95250</xdr:rowOff>
                  </from>
                  <to>
                    <xdr:col>17</xdr:col>
                    <xdr:colOff>19050</xdr:colOff>
                    <xdr:row>50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93" name="Option Button 260">
              <controlPr defaultSize="0" autoFill="0" autoLine="0" autoPict="0">
                <anchor moveWithCells="1">
                  <from>
                    <xdr:col>15</xdr:col>
                    <xdr:colOff>266700</xdr:colOff>
                    <xdr:row>44</xdr:row>
                    <xdr:rowOff>57150</xdr:rowOff>
                  </from>
                  <to>
                    <xdr:col>16</xdr:col>
                    <xdr:colOff>971550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94" name="Option Button 261">
              <controlPr defaultSize="0" autoFill="0" autoLine="0" autoPict="0">
                <anchor moveWithCells="1">
                  <from>
                    <xdr:col>15</xdr:col>
                    <xdr:colOff>257175</xdr:colOff>
                    <xdr:row>45</xdr:row>
                    <xdr:rowOff>28575</xdr:rowOff>
                  </from>
                  <to>
                    <xdr:col>16</xdr:col>
                    <xdr:colOff>962025</xdr:colOff>
                    <xdr:row>45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95" name="Option Button 262">
              <controlPr defaultSize="0" autoFill="0" autoLine="0" autoPict="0">
                <anchor moveWithCells="1">
                  <from>
                    <xdr:col>15</xdr:col>
                    <xdr:colOff>257175</xdr:colOff>
                    <xdr:row>45</xdr:row>
                    <xdr:rowOff>285750</xdr:rowOff>
                  </from>
                  <to>
                    <xdr:col>16</xdr:col>
                    <xdr:colOff>1038225</xdr:colOff>
                    <xdr:row>46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96" name="Option Button 263">
              <controlPr defaultSize="0" autoFill="0" autoLine="0" autoPict="0">
                <anchor moveWithCells="1">
                  <from>
                    <xdr:col>15</xdr:col>
                    <xdr:colOff>257175</xdr:colOff>
                    <xdr:row>46</xdr:row>
                    <xdr:rowOff>238125</xdr:rowOff>
                  </from>
                  <to>
                    <xdr:col>16</xdr:col>
                    <xdr:colOff>1038225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97" name="Option Button 264">
              <controlPr defaultSize="0" autoFill="0" autoLine="0" autoPict="0">
                <anchor moveWithCells="1">
                  <from>
                    <xdr:col>15</xdr:col>
                    <xdr:colOff>266700</xdr:colOff>
                    <xdr:row>47</xdr:row>
                    <xdr:rowOff>219075</xdr:rowOff>
                  </from>
                  <to>
                    <xdr:col>16</xdr:col>
                    <xdr:colOff>1009650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98" name="Option Button 266">
              <controlPr defaultSize="0" autoFill="0" autoLine="0" autoPict="0">
                <anchor moveWithCells="1">
                  <from>
                    <xdr:col>15</xdr:col>
                    <xdr:colOff>752475</xdr:colOff>
                    <xdr:row>60</xdr:row>
                    <xdr:rowOff>409575</xdr:rowOff>
                  </from>
                  <to>
                    <xdr:col>16</xdr:col>
                    <xdr:colOff>866775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99" name="Group Box 271">
              <controlPr defaultSize="0" autoFill="0" autoPict="0">
                <anchor moveWithCells="1">
                  <from>
                    <xdr:col>27</xdr:col>
                    <xdr:colOff>161925</xdr:colOff>
                    <xdr:row>68</xdr:row>
                    <xdr:rowOff>0</xdr:rowOff>
                  </from>
                  <to>
                    <xdr:col>28</xdr:col>
                    <xdr:colOff>752475</xdr:colOff>
                    <xdr:row>72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00" name="Option Button 272">
              <controlPr defaultSize="0" autoFill="0" autoLine="0" autoPict="0">
                <anchor moveWithCells="1">
                  <from>
                    <xdr:col>27</xdr:col>
                    <xdr:colOff>361950</xdr:colOff>
                    <xdr:row>68</xdr:row>
                    <xdr:rowOff>180975</xdr:rowOff>
                  </from>
                  <to>
                    <xdr:col>28</xdr:col>
                    <xdr:colOff>276225</xdr:colOff>
                    <xdr:row>69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01" name="Option Button 273">
              <controlPr defaultSize="0" autoFill="0" autoLine="0" autoPict="0">
                <anchor moveWithCells="1">
                  <from>
                    <xdr:col>27</xdr:col>
                    <xdr:colOff>361950</xdr:colOff>
                    <xdr:row>69</xdr:row>
                    <xdr:rowOff>104775</xdr:rowOff>
                  </from>
                  <to>
                    <xdr:col>28</xdr:col>
                    <xdr:colOff>247650</xdr:colOff>
                    <xdr:row>70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02" name="Option Button 274">
              <controlPr defaultSize="0" autoFill="0" autoLine="0" autoPict="0">
                <anchor moveWithCells="1">
                  <from>
                    <xdr:col>27</xdr:col>
                    <xdr:colOff>352425</xdr:colOff>
                    <xdr:row>70</xdr:row>
                    <xdr:rowOff>133350</xdr:rowOff>
                  </from>
                  <to>
                    <xdr:col>28</xdr:col>
                    <xdr:colOff>190500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03" name="Option Button 277">
              <controlPr defaultSize="0" autoFill="0" autoLine="0" autoPict="0">
                <anchor moveWithCells="1">
                  <from>
                    <xdr:col>27</xdr:col>
                    <xdr:colOff>400050</xdr:colOff>
                    <xdr:row>71</xdr:row>
                    <xdr:rowOff>228600</xdr:rowOff>
                  </from>
                  <to>
                    <xdr:col>28</xdr:col>
                    <xdr:colOff>276225</xdr:colOff>
                    <xdr:row>72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04" name="Option Button 278">
              <controlPr defaultSize="0" autoFill="0" autoLine="0" autoPict="0">
                <anchor moveWithCells="1">
                  <from>
                    <xdr:col>11</xdr:col>
                    <xdr:colOff>1019175</xdr:colOff>
                    <xdr:row>97</xdr:row>
                    <xdr:rowOff>190500</xdr:rowOff>
                  </from>
                  <to>
                    <xdr:col>11</xdr:col>
                    <xdr:colOff>2295525</xdr:colOff>
                    <xdr:row>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05" name="Group Box 280">
              <controlPr defaultSize="0" autoFill="0" autoPict="0">
                <anchor moveWithCells="1">
                  <from>
                    <xdr:col>13</xdr:col>
                    <xdr:colOff>1885950</xdr:colOff>
                    <xdr:row>88</xdr:row>
                    <xdr:rowOff>76200</xdr:rowOff>
                  </from>
                  <to>
                    <xdr:col>16</xdr:col>
                    <xdr:colOff>1085850</xdr:colOff>
                    <xdr:row>90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06" name="Check Box 281">
              <controlPr defaultSize="0" autoFill="0" autoLine="0" autoPict="0">
                <anchor moveWithCells="1">
                  <from>
                    <xdr:col>13</xdr:col>
                    <xdr:colOff>1924050</xdr:colOff>
                    <xdr:row>89</xdr:row>
                    <xdr:rowOff>85725</xdr:rowOff>
                  </from>
                  <to>
                    <xdr:col>17</xdr:col>
                    <xdr:colOff>38100</xdr:colOff>
                    <xdr:row>90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07" name="Check Box 282">
              <controlPr defaultSize="0" autoFill="0" autoLine="0" autoPict="0">
                <anchor moveWithCells="1">
                  <from>
                    <xdr:col>19</xdr:col>
                    <xdr:colOff>1409700</xdr:colOff>
                    <xdr:row>77</xdr:row>
                    <xdr:rowOff>133350</xdr:rowOff>
                  </from>
                  <to>
                    <xdr:col>22</xdr:col>
                    <xdr:colOff>628650</xdr:colOff>
                    <xdr:row>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08" name="Group Box 283">
              <controlPr defaultSize="0" autoFill="0" autoPict="0">
                <anchor moveWithCells="1">
                  <from>
                    <xdr:col>31</xdr:col>
                    <xdr:colOff>142875</xdr:colOff>
                    <xdr:row>61</xdr:row>
                    <xdr:rowOff>114300</xdr:rowOff>
                  </from>
                  <to>
                    <xdr:col>36</xdr:col>
                    <xdr:colOff>209550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09" name="Option Button 284">
              <controlPr defaultSize="0" autoFill="0" autoLine="0" autoPict="0">
                <anchor moveWithCells="1">
                  <from>
                    <xdr:col>31</xdr:col>
                    <xdr:colOff>314325</xdr:colOff>
                    <xdr:row>61</xdr:row>
                    <xdr:rowOff>266700</xdr:rowOff>
                  </from>
                  <to>
                    <xdr:col>34</xdr:col>
                    <xdr:colOff>838200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10" name="Option Button 285">
              <controlPr defaultSize="0" autoFill="0" autoLine="0" autoPict="0">
                <anchor moveWithCells="1">
                  <from>
                    <xdr:col>31</xdr:col>
                    <xdr:colOff>323850</xdr:colOff>
                    <xdr:row>62</xdr:row>
                    <xdr:rowOff>152400</xdr:rowOff>
                  </from>
                  <to>
                    <xdr:col>34</xdr:col>
                    <xdr:colOff>666750</xdr:colOff>
                    <xdr:row>63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11" name="Check Box 287">
              <controlPr defaultSize="0" autoFill="0" autoLine="0" autoPict="0">
                <anchor moveWithCells="1">
                  <from>
                    <xdr:col>31</xdr:col>
                    <xdr:colOff>1076325</xdr:colOff>
                    <xdr:row>56</xdr:row>
                    <xdr:rowOff>161925</xdr:rowOff>
                  </from>
                  <to>
                    <xdr:col>34</xdr:col>
                    <xdr:colOff>847725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12" name="Option Button 288">
              <controlPr defaultSize="0" autoFill="0" autoLine="0" autoPict="0">
                <anchor moveWithCells="1">
                  <from>
                    <xdr:col>15</xdr:col>
                    <xdr:colOff>666750</xdr:colOff>
                    <xdr:row>134</xdr:row>
                    <xdr:rowOff>0</xdr:rowOff>
                  </from>
                  <to>
                    <xdr:col>16</xdr:col>
                    <xdr:colOff>695325</xdr:colOff>
                    <xdr:row>134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13" name="Option Button 289">
              <controlPr defaultSize="0" autoFill="0" autoLine="0" autoPict="0">
                <anchor moveWithCells="1">
                  <from>
                    <xdr:col>11</xdr:col>
                    <xdr:colOff>2076450</xdr:colOff>
                    <xdr:row>78</xdr:row>
                    <xdr:rowOff>47625</xdr:rowOff>
                  </from>
                  <to>
                    <xdr:col>13</xdr:col>
                    <xdr:colOff>1162050</xdr:colOff>
                    <xdr:row>78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14" name="Option Button 290">
              <controlPr defaultSize="0" autoFill="0" autoLine="0" autoPict="0">
                <anchor moveWithCells="1">
                  <from>
                    <xdr:col>13</xdr:col>
                    <xdr:colOff>533400</xdr:colOff>
                    <xdr:row>40</xdr:row>
                    <xdr:rowOff>133350</xdr:rowOff>
                  </from>
                  <to>
                    <xdr:col>13</xdr:col>
                    <xdr:colOff>1924050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15" name="Option Button 291">
              <controlPr defaultSize="0" autoFill="0" autoLine="0" autoPict="0">
                <anchor moveWithCells="1">
                  <from>
                    <xdr:col>11</xdr:col>
                    <xdr:colOff>1609725</xdr:colOff>
                    <xdr:row>40</xdr:row>
                    <xdr:rowOff>161925</xdr:rowOff>
                  </from>
                  <to>
                    <xdr:col>13</xdr:col>
                    <xdr:colOff>361950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16" name="Check Box 292">
              <controlPr defaultSize="0" autoFill="0" autoLine="0" autoPict="0">
                <anchor moveWithCells="1">
                  <from>
                    <xdr:col>19</xdr:col>
                    <xdr:colOff>1009650</xdr:colOff>
                    <xdr:row>91</xdr:row>
                    <xdr:rowOff>400050</xdr:rowOff>
                  </from>
                  <to>
                    <xdr:col>22</xdr:col>
                    <xdr:colOff>733425</xdr:colOff>
                    <xdr:row>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17" name="Option Button 294">
              <controlPr defaultSize="0" autoFill="0" autoLine="0" autoPict="0">
                <anchor moveWithCells="1">
                  <from>
                    <xdr:col>15</xdr:col>
                    <xdr:colOff>590550</xdr:colOff>
                    <xdr:row>49</xdr:row>
                    <xdr:rowOff>190500</xdr:rowOff>
                  </from>
                  <to>
                    <xdr:col>16</xdr:col>
                    <xdr:colOff>600075</xdr:colOff>
                    <xdr:row>50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18" name="Option Button 295">
              <controlPr defaultSize="0" autoFill="0" autoLine="0" autoPict="0">
                <anchor moveWithCells="1">
                  <from>
                    <xdr:col>9</xdr:col>
                    <xdr:colOff>1943100</xdr:colOff>
                    <xdr:row>133</xdr:row>
                    <xdr:rowOff>57150</xdr:rowOff>
                  </from>
                  <to>
                    <xdr:col>11</xdr:col>
                    <xdr:colOff>1276350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19" name="Group Box 296">
              <controlPr defaultSize="0" autoFill="0" autoPict="0">
                <anchor moveWithCells="1">
                  <from>
                    <xdr:col>9</xdr:col>
                    <xdr:colOff>19050</xdr:colOff>
                    <xdr:row>148</xdr:row>
                    <xdr:rowOff>180975</xdr:rowOff>
                  </from>
                  <to>
                    <xdr:col>21</xdr:col>
                    <xdr:colOff>38100</xdr:colOff>
                    <xdr:row>150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20" name="Option Button 297">
              <controlPr defaultSize="0" autoFill="0" autoLine="0" autoPict="0">
                <anchor moveWithCells="1">
                  <from>
                    <xdr:col>9</xdr:col>
                    <xdr:colOff>838200</xdr:colOff>
                    <xdr:row>150</xdr:row>
                    <xdr:rowOff>38100</xdr:rowOff>
                  </from>
                  <to>
                    <xdr:col>9</xdr:col>
                    <xdr:colOff>2095500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21" name="Option Button 298">
              <controlPr defaultSize="0" autoFill="0" autoLine="0" autoPict="0">
                <anchor moveWithCells="1">
                  <from>
                    <xdr:col>11</xdr:col>
                    <xdr:colOff>742950</xdr:colOff>
                    <xdr:row>150</xdr:row>
                    <xdr:rowOff>47625</xdr:rowOff>
                  </from>
                  <to>
                    <xdr:col>11</xdr:col>
                    <xdr:colOff>2124075</xdr:colOff>
                    <xdr:row>150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22" name="Group Box 299">
              <controlPr defaultSize="0" autoFill="0" autoPict="0">
                <anchor moveWithCells="1">
                  <from>
                    <xdr:col>22</xdr:col>
                    <xdr:colOff>1314450</xdr:colOff>
                    <xdr:row>152</xdr:row>
                    <xdr:rowOff>142875</xdr:rowOff>
                  </from>
                  <to>
                    <xdr:col>29</xdr:col>
                    <xdr:colOff>0</xdr:colOff>
                    <xdr:row>155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23" name="Option Button 300">
              <controlPr defaultSize="0" autoFill="0" autoLine="0" autoPict="0">
                <anchor moveWithCells="1">
                  <from>
                    <xdr:col>13</xdr:col>
                    <xdr:colOff>742950</xdr:colOff>
                    <xdr:row>150</xdr:row>
                    <xdr:rowOff>47625</xdr:rowOff>
                  </from>
                  <to>
                    <xdr:col>13</xdr:col>
                    <xdr:colOff>2124075</xdr:colOff>
                    <xdr:row>150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24" name="Option Button 301">
              <controlPr defaultSize="0" autoFill="0" autoLine="0" autoPict="0">
                <anchor moveWithCells="1">
                  <from>
                    <xdr:col>15</xdr:col>
                    <xdr:colOff>619125</xdr:colOff>
                    <xdr:row>150</xdr:row>
                    <xdr:rowOff>28575</xdr:rowOff>
                  </from>
                  <to>
                    <xdr:col>16</xdr:col>
                    <xdr:colOff>1038225</xdr:colOff>
                    <xdr:row>150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25" name="Option Button 302">
              <controlPr defaultSize="0" autoFill="0" autoLine="0" autoPict="0">
                <anchor moveWithCells="1">
                  <from>
                    <xdr:col>19</xdr:col>
                    <xdr:colOff>361950</xdr:colOff>
                    <xdr:row>150</xdr:row>
                    <xdr:rowOff>47625</xdr:rowOff>
                  </from>
                  <to>
                    <xdr:col>20</xdr:col>
                    <xdr:colOff>323850</xdr:colOff>
                    <xdr:row>150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26" name="Option Button 303">
              <controlPr defaultSize="0" autoFill="0" autoLine="0" autoPict="0">
                <anchor moveWithCells="1">
                  <from>
                    <xdr:col>13</xdr:col>
                    <xdr:colOff>85725</xdr:colOff>
                    <xdr:row>149</xdr:row>
                    <xdr:rowOff>19050</xdr:rowOff>
                  </from>
                  <to>
                    <xdr:col>13</xdr:col>
                    <xdr:colOff>2085975</xdr:colOff>
                    <xdr:row>149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27" name="Option Button 304">
              <controlPr defaultSize="0" autoFill="0" autoLine="0" autoPict="0">
                <anchor moveWithCells="1">
                  <from>
                    <xdr:col>23</xdr:col>
                    <xdr:colOff>209550</xdr:colOff>
                    <xdr:row>153</xdr:row>
                    <xdr:rowOff>152400</xdr:rowOff>
                  </from>
                  <to>
                    <xdr:col>24</xdr:col>
                    <xdr:colOff>28575</xdr:colOff>
                    <xdr:row>154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28" name="Option Button 305">
              <controlPr defaultSize="0" autoFill="0" autoLine="0" autoPict="0">
                <anchor moveWithCells="1">
                  <from>
                    <xdr:col>27</xdr:col>
                    <xdr:colOff>714375</xdr:colOff>
                    <xdr:row>153</xdr:row>
                    <xdr:rowOff>171450</xdr:rowOff>
                  </from>
                  <to>
                    <xdr:col>28</xdr:col>
                    <xdr:colOff>857250</xdr:colOff>
                    <xdr:row>154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29" name="Option Button 306">
              <controlPr defaultSize="0" autoFill="0" autoLine="0" autoPict="0">
                <anchor moveWithCells="1">
                  <from>
                    <xdr:col>24</xdr:col>
                    <xdr:colOff>114300</xdr:colOff>
                    <xdr:row>154</xdr:row>
                    <xdr:rowOff>114300</xdr:rowOff>
                  </from>
                  <to>
                    <xdr:col>27</xdr:col>
                    <xdr:colOff>723900</xdr:colOff>
                    <xdr:row>155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30" name="Group Box 307">
              <controlPr defaultSize="0" autoFill="0" autoPict="0">
                <anchor moveWithCells="1">
                  <from>
                    <xdr:col>23</xdr:col>
                    <xdr:colOff>95250</xdr:colOff>
                    <xdr:row>162</xdr:row>
                    <xdr:rowOff>104775</xdr:rowOff>
                  </from>
                  <to>
                    <xdr:col>27</xdr:col>
                    <xdr:colOff>352425</xdr:colOff>
                    <xdr:row>169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31" name="Check Box 308">
              <controlPr defaultSize="0" autoFill="0" autoLine="0" autoPict="0">
                <anchor moveWithCells="1">
                  <from>
                    <xdr:col>22</xdr:col>
                    <xdr:colOff>1257300</xdr:colOff>
                    <xdr:row>160</xdr:row>
                    <xdr:rowOff>114300</xdr:rowOff>
                  </from>
                  <to>
                    <xdr:col>29</xdr:col>
                    <xdr:colOff>257175</xdr:colOff>
                    <xdr:row>161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32" name="Option Button 309">
              <controlPr defaultSize="0" autoFill="0" autoLine="0" autoPict="0">
                <anchor moveWithCells="1">
                  <from>
                    <xdr:col>23</xdr:col>
                    <xdr:colOff>647700</xdr:colOff>
                    <xdr:row>163</xdr:row>
                    <xdr:rowOff>123825</xdr:rowOff>
                  </from>
                  <to>
                    <xdr:col>27</xdr:col>
                    <xdr:colOff>276225</xdr:colOff>
                    <xdr:row>164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33" name="Option Button 310">
              <controlPr defaultSize="0" autoFill="0" autoLine="0" autoPict="0">
                <anchor moveWithCells="1">
                  <from>
                    <xdr:col>23</xdr:col>
                    <xdr:colOff>647700</xdr:colOff>
                    <xdr:row>164</xdr:row>
                    <xdr:rowOff>171450</xdr:rowOff>
                  </from>
                  <to>
                    <xdr:col>26</xdr:col>
                    <xdr:colOff>28575</xdr:colOff>
                    <xdr:row>166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134" name="Option Button 311">
              <controlPr defaultSize="0" autoFill="0" autoLine="0" autoPict="0">
                <anchor moveWithCells="1">
                  <from>
                    <xdr:col>23</xdr:col>
                    <xdr:colOff>647700</xdr:colOff>
                    <xdr:row>166</xdr:row>
                    <xdr:rowOff>28575</xdr:rowOff>
                  </from>
                  <to>
                    <xdr:col>27</xdr:col>
                    <xdr:colOff>266700</xdr:colOff>
                    <xdr:row>167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135" name="Option Button 312">
              <controlPr defaultSize="0" autoFill="0" autoLine="0" autoPict="0">
                <anchor moveWithCells="1">
                  <from>
                    <xdr:col>23</xdr:col>
                    <xdr:colOff>657225</xdr:colOff>
                    <xdr:row>167</xdr:row>
                    <xdr:rowOff>123825</xdr:rowOff>
                  </from>
                  <to>
                    <xdr:col>27</xdr:col>
                    <xdr:colOff>238125</xdr:colOff>
                    <xdr:row>168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136" name="Group Box 313">
              <controlPr defaultSize="0" autoFill="0" autoPict="0">
                <anchor moveWithCells="1">
                  <from>
                    <xdr:col>9</xdr:col>
                    <xdr:colOff>9525</xdr:colOff>
                    <xdr:row>186</xdr:row>
                    <xdr:rowOff>161925</xdr:rowOff>
                  </from>
                  <to>
                    <xdr:col>9</xdr:col>
                    <xdr:colOff>2362200</xdr:colOff>
                    <xdr:row>190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7" name="Group Box 314">
              <controlPr defaultSize="0" autoFill="0" autoPict="0">
                <anchor moveWithCells="1">
                  <from>
                    <xdr:col>11</xdr:col>
                    <xdr:colOff>714375</xdr:colOff>
                    <xdr:row>183</xdr:row>
                    <xdr:rowOff>171450</xdr:rowOff>
                  </from>
                  <to>
                    <xdr:col>14</xdr:col>
                    <xdr:colOff>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8" name="Option Button 315">
              <controlPr defaultSize="0" autoFill="0" autoLine="0" autoPict="0">
                <anchor moveWithCells="1">
                  <from>
                    <xdr:col>11</xdr:col>
                    <xdr:colOff>942975</xdr:colOff>
                    <xdr:row>185</xdr:row>
                    <xdr:rowOff>123825</xdr:rowOff>
                  </from>
                  <to>
                    <xdr:col>11</xdr:col>
                    <xdr:colOff>2352675</xdr:colOff>
                    <xdr:row>186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39" name="Option Button 316">
              <controlPr defaultSize="0" autoFill="0" autoLine="0" autoPict="0">
                <anchor moveWithCells="1">
                  <from>
                    <xdr:col>13</xdr:col>
                    <xdr:colOff>342900</xdr:colOff>
                    <xdr:row>185</xdr:row>
                    <xdr:rowOff>142875</xdr:rowOff>
                  </from>
                  <to>
                    <xdr:col>13</xdr:col>
                    <xdr:colOff>1552575</xdr:colOff>
                    <xdr:row>186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40" name="Option Button 317">
              <controlPr defaultSize="0" autoFill="0" autoLine="0" autoPict="0">
                <anchor moveWithCells="1">
                  <from>
                    <xdr:col>11</xdr:col>
                    <xdr:colOff>2124075</xdr:colOff>
                    <xdr:row>184</xdr:row>
                    <xdr:rowOff>95250</xdr:rowOff>
                  </from>
                  <to>
                    <xdr:col>13</xdr:col>
                    <xdr:colOff>952500</xdr:colOff>
                    <xdr:row>185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41" name="Check Box 318">
              <controlPr defaultSize="0" autoFill="0" autoLine="0" autoPict="0">
                <anchor moveWithCells="1">
                  <from>
                    <xdr:col>15</xdr:col>
                    <xdr:colOff>304800</xdr:colOff>
                    <xdr:row>177</xdr:row>
                    <xdr:rowOff>38100</xdr:rowOff>
                  </from>
                  <to>
                    <xdr:col>17</xdr:col>
                    <xdr:colOff>142875</xdr:colOff>
                    <xdr:row>177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42" name="Check Box 319">
              <controlPr defaultSize="0" autoFill="0" autoLine="0" autoPict="0">
                <anchor moveWithCells="1">
                  <from>
                    <xdr:col>19</xdr:col>
                    <xdr:colOff>361950</xdr:colOff>
                    <xdr:row>177</xdr:row>
                    <xdr:rowOff>76200</xdr:rowOff>
                  </from>
                  <to>
                    <xdr:col>20</xdr:col>
                    <xdr:colOff>676275</xdr:colOff>
                    <xdr:row>177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143" name="Check Box 320">
              <controlPr defaultSize="0" autoFill="0" autoLine="0" autoPict="0">
                <anchor moveWithCells="1">
                  <from>
                    <xdr:col>9</xdr:col>
                    <xdr:colOff>247650</xdr:colOff>
                    <xdr:row>187</xdr:row>
                    <xdr:rowOff>123825</xdr:rowOff>
                  </from>
                  <to>
                    <xdr:col>9</xdr:col>
                    <xdr:colOff>2105025</xdr:colOff>
                    <xdr:row>188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44" name="Check Box 321">
              <controlPr defaultSize="0" autoFill="0" autoLine="0" autoPict="0">
                <anchor moveWithCells="1">
                  <from>
                    <xdr:col>9</xdr:col>
                    <xdr:colOff>247650</xdr:colOff>
                    <xdr:row>188</xdr:row>
                    <xdr:rowOff>142875</xdr:rowOff>
                  </from>
                  <to>
                    <xdr:col>9</xdr:col>
                    <xdr:colOff>1552575</xdr:colOff>
                    <xdr:row>189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45" name="Check Box 322">
              <controlPr defaultSize="0" autoFill="0" autoLine="0" autoPict="0">
                <anchor moveWithCells="1">
                  <from>
                    <xdr:col>9</xdr:col>
                    <xdr:colOff>200025</xdr:colOff>
                    <xdr:row>177</xdr:row>
                    <xdr:rowOff>85725</xdr:rowOff>
                  </from>
                  <to>
                    <xdr:col>9</xdr:col>
                    <xdr:colOff>2028825</xdr:colOff>
                    <xdr:row>177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46" name="Group Box 323">
              <controlPr defaultSize="0" autoFill="0" autoPict="0">
                <anchor moveWithCells="1">
                  <from>
                    <xdr:col>11</xdr:col>
                    <xdr:colOff>685800</xdr:colOff>
                    <xdr:row>176</xdr:row>
                    <xdr:rowOff>266700</xdr:rowOff>
                  </from>
                  <to>
                    <xdr:col>14</xdr:col>
                    <xdr:colOff>38100</xdr:colOff>
                    <xdr:row>182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47" name="Option Button 324">
              <controlPr defaultSize="0" autoFill="0" autoLine="0" autoPict="0">
                <anchor moveWithCells="1">
                  <from>
                    <xdr:col>11</xdr:col>
                    <xdr:colOff>1047750</xdr:colOff>
                    <xdr:row>178</xdr:row>
                    <xdr:rowOff>114300</xdr:rowOff>
                  </from>
                  <to>
                    <xdr:col>11</xdr:col>
                    <xdr:colOff>1952625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48" name="Option Button 325">
              <controlPr defaultSize="0" autoFill="0" autoLine="0" autoPict="0">
                <anchor moveWithCells="1">
                  <from>
                    <xdr:col>11</xdr:col>
                    <xdr:colOff>1038225</xdr:colOff>
                    <xdr:row>179</xdr:row>
                    <xdr:rowOff>19050</xdr:rowOff>
                  </from>
                  <to>
                    <xdr:col>11</xdr:col>
                    <xdr:colOff>2314575</xdr:colOff>
                    <xdr:row>179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49" name="Option Button 326">
              <controlPr defaultSize="0" autoFill="0" autoLine="0" autoPict="0">
                <anchor moveWithCells="1">
                  <from>
                    <xdr:col>11</xdr:col>
                    <xdr:colOff>1028700</xdr:colOff>
                    <xdr:row>180</xdr:row>
                    <xdr:rowOff>114300</xdr:rowOff>
                  </from>
                  <to>
                    <xdr:col>11</xdr:col>
                    <xdr:colOff>2343150</xdr:colOff>
                    <xdr:row>181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50" name="Group Box 327">
              <controlPr defaultSize="0" autoFill="0" autoPict="0">
                <anchor moveWithCells="1">
                  <from>
                    <xdr:col>15</xdr:col>
                    <xdr:colOff>76200</xdr:colOff>
                    <xdr:row>185</xdr:row>
                    <xdr:rowOff>190500</xdr:rowOff>
                  </from>
                  <to>
                    <xdr:col>17</xdr:col>
                    <xdr:colOff>114300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51" name="Option Button 328">
              <controlPr defaultSize="0" autoFill="0" autoLine="0" autoPict="0">
                <anchor moveWithCells="1">
                  <from>
                    <xdr:col>15</xdr:col>
                    <xdr:colOff>314325</xdr:colOff>
                    <xdr:row>186</xdr:row>
                    <xdr:rowOff>57150</xdr:rowOff>
                  </from>
                  <to>
                    <xdr:col>16</xdr:col>
                    <xdr:colOff>809625</xdr:colOff>
                    <xdr:row>187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52" name="Option Button 329">
              <controlPr defaultSize="0" autoFill="0" autoLine="0" autoPict="0">
                <anchor moveWithCells="1">
                  <from>
                    <xdr:col>15</xdr:col>
                    <xdr:colOff>304800</xdr:colOff>
                    <xdr:row>187</xdr:row>
                    <xdr:rowOff>76200</xdr:rowOff>
                  </from>
                  <to>
                    <xdr:col>16</xdr:col>
                    <xdr:colOff>1076325</xdr:colOff>
                    <xdr:row>188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53" name="Option Button 330">
              <controlPr defaultSize="0" autoFill="0" autoLine="0" autoPict="0">
                <anchor moveWithCells="1">
                  <from>
                    <xdr:col>15</xdr:col>
                    <xdr:colOff>619125</xdr:colOff>
                    <xdr:row>189</xdr:row>
                    <xdr:rowOff>28575</xdr:rowOff>
                  </from>
                  <to>
                    <xdr:col>16</xdr:col>
                    <xdr:colOff>552450</xdr:colOff>
                    <xdr:row>190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54" name="Group Box 331">
              <controlPr defaultSize="0" autoFill="0" autoPict="0">
                <anchor moveWithCells="1">
                  <from>
                    <xdr:col>9</xdr:col>
                    <xdr:colOff>19050</xdr:colOff>
                    <xdr:row>199</xdr:row>
                    <xdr:rowOff>38100</xdr:rowOff>
                  </from>
                  <to>
                    <xdr:col>18</xdr:col>
                    <xdr:colOff>66675</xdr:colOff>
                    <xdr:row>201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55" name="Option Button 332">
              <controlPr defaultSize="0" autoFill="0" autoLine="0" autoPict="0">
                <anchor moveWithCells="1">
                  <from>
                    <xdr:col>9</xdr:col>
                    <xdr:colOff>295275</xdr:colOff>
                    <xdr:row>200</xdr:row>
                    <xdr:rowOff>238125</xdr:rowOff>
                  </from>
                  <to>
                    <xdr:col>9</xdr:col>
                    <xdr:colOff>2066925</xdr:colOff>
                    <xdr:row>201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56" name="Option Button 333">
              <controlPr defaultSize="0" autoFill="0" autoLine="0" autoPict="0">
                <anchor moveWithCells="1">
                  <from>
                    <xdr:col>11</xdr:col>
                    <xdr:colOff>295275</xdr:colOff>
                    <xdr:row>200</xdr:row>
                    <xdr:rowOff>238125</xdr:rowOff>
                  </from>
                  <to>
                    <xdr:col>11</xdr:col>
                    <xdr:colOff>2343150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57" name="Group Box 334">
              <controlPr defaultSize="0" autoFill="0" autoPict="0">
                <anchor moveWithCells="1">
                  <from>
                    <xdr:col>15</xdr:col>
                    <xdr:colOff>9525</xdr:colOff>
                    <xdr:row>209</xdr:row>
                    <xdr:rowOff>180975</xdr:rowOff>
                  </from>
                  <to>
                    <xdr:col>18</xdr:col>
                    <xdr:colOff>171450</xdr:colOff>
                    <xdr:row>213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158" name="Option Button 335">
              <controlPr defaultSize="0" autoFill="0" autoLine="0" autoPict="0">
                <anchor moveWithCells="1">
                  <from>
                    <xdr:col>15</xdr:col>
                    <xdr:colOff>123825</xdr:colOff>
                    <xdr:row>210</xdr:row>
                    <xdr:rowOff>57150</xdr:rowOff>
                  </from>
                  <to>
                    <xdr:col>16</xdr:col>
                    <xdr:colOff>485775</xdr:colOff>
                    <xdr:row>211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59" name="Option Button 336">
              <controlPr defaultSize="0" autoFill="0" autoLine="0" autoPict="0">
                <anchor moveWithCells="1">
                  <from>
                    <xdr:col>15</xdr:col>
                    <xdr:colOff>123825</xdr:colOff>
                    <xdr:row>211</xdr:row>
                    <xdr:rowOff>0</xdr:rowOff>
                  </from>
                  <to>
                    <xdr:col>16</xdr:col>
                    <xdr:colOff>333375</xdr:colOff>
                    <xdr:row>211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60" name="Option Button 337">
              <controlPr defaultSize="0" autoFill="0" autoLine="0" autoPict="0">
                <anchor moveWithCells="1">
                  <from>
                    <xdr:col>15</xdr:col>
                    <xdr:colOff>123825</xdr:colOff>
                    <xdr:row>211</xdr:row>
                    <xdr:rowOff>200025</xdr:rowOff>
                  </from>
                  <to>
                    <xdr:col>16</xdr:col>
                    <xdr:colOff>38100</xdr:colOff>
                    <xdr:row>212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61" name="Check Box 338">
              <controlPr defaultSize="0" autoFill="0" autoLine="0" autoPict="0">
                <anchor moveWithCells="1">
                  <from>
                    <xdr:col>19</xdr:col>
                    <xdr:colOff>971550</xdr:colOff>
                    <xdr:row>201</xdr:row>
                    <xdr:rowOff>161925</xdr:rowOff>
                  </from>
                  <to>
                    <xdr:col>22</xdr:col>
                    <xdr:colOff>514350</xdr:colOff>
                    <xdr:row>202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162" name="Option Button 339">
              <controlPr defaultSize="0" autoFill="0" autoLine="0" autoPict="0">
                <anchor moveWithCells="1">
                  <from>
                    <xdr:col>13</xdr:col>
                    <xdr:colOff>342900</xdr:colOff>
                    <xdr:row>200</xdr:row>
                    <xdr:rowOff>247650</xdr:rowOff>
                  </from>
                  <to>
                    <xdr:col>13</xdr:col>
                    <xdr:colOff>1981200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163" name="Option Button 340">
              <controlPr defaultSize="0" autoFill="0" autoLine="0" autoPict="0">
                <anchor moveWithCells="1">
                  <from>
                    <xdr:col>15</xdr:col>
                    <xdr:colOff>352425</xdr:colOff>
                    <xdr:row>200</xdr:row>
                    <xdr:rowOff>257175</xdr:rowOff>
                  </from>
                  <to>
                    <xdr:col>16</xdr:col>
                    <xdr:colOff>819150</xdr:colOff>
                    <xdr:row>201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164" name="Option Button 341">
              <controlPr defaultSize="0" autoFill="0" autoLine="0" autoPict="0">
                <anchor moveWithCells="1">
                  <from>
                    <xdr:col>11</xdr:col>
                    <xdr:colOff>1819275</xdr:colOff>
                    <xdr:row>199</xdr:row>
                    <xdr:rowOff>104775</xdr:rowOff>
                  </from>
                  <to>
                    <xdr:col>13</xdr:col>
                    <xdr:colOff>885825</xdr:colOff>
                    <xdr:row>200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65" name="Option Button 342">
              <controlPr defaultSize="0" autoFill="0" autoLine="0" autoPict="0">
                <anchor moveWithCells="1">
                  <from>
                    <xdr:col>16</xdr:col>
                    <xdr:colOff>76200</xdr:colOff>
                    <xdr:row>210</xdr:row>
                    <xdr:rowOff>247650</xdr:rowOff>
                  </from>
                  <to>
                    <xdr:col>18</xdr:col>
                    <xdr:colOff>9525</xdr:colOff>
                    <xdr:row>211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66" name="Group Box 343">
              <controlPr defaultSize="0" autoFill="0" autoPict="0">
                <anchor moveWithCells="1">
                  <from>
                    <xdr:col>19</xdr:col>
                    <xdr:colOff>428625</xdr:colOff>
                    <xdr:row>199</xdr:row>
                    <xdr:rowOff>152400</xdr:rowOff>
                  </from>
                  <to>
                    <xdr:col>22</xdr:col>
                    <xdr:colOff>876300</xdr:colOff>
                    <xdr:row>207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67" name="Group Box 344">
              <controlPr defaultSize="0" autoFill="0" autoPict="0">
                <anchor moveWithCells="1">
                  <from>
                    <xdr:col>9</xdr:col>
                    <xdr:colOff>19050</xdr:colOff>
                    <xdr:row>221</xdr:row>
                    <xdr:rowOff>57150</xdr:rowOff>
                  </from>
                  <to>
                    <xdr:col>21</xdr:col>
                    <xdr:colOff>190500</xdr:colOff>
                    <xdr:row>223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168" name="Option Button 345">
              <controlPr defaultSize="0" autoFill="0" autoLine="0" autoPict="0">
                <anchor moveWithCells="1">
                  <from>
                    <xdr:col>11</xdr:col>
                    <xdr:colOff>228600</xdr:colOff>
                    <xdr:row>222</xdr:row>
                    <xdr:rowOff>228600</xdr:rowOff>
                  </from>
                  <to>
                    <xdr:col>11</xdr:col>
                    <xdr:colOff>2000250</xdr:colOff>
                    <xdr:row>223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169" name="Option Button 346">
              <controlPr defaultSize="0" autoFill="0" autoLine="0" autoPict="0">
                <anchor moveWithCells="1">
                  <from>
                    <xdr:col>13</xdr:col>
                    <xdr:colOff>752475</xdr:colOff>
                    <xdr:row>222</xdr:row>
                    <xdr:rowOff>238125</xdr:rowOff>
                  </from>
                  <to>
                    <xdr:col>15</xdr:col>
                    <xdr:colOff>476250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70" name="Group Box 347">
              <controlPr defaultSize="0" autoFill="0" autoPict="0">
                <anchor moveWithCells="1">
                  <from>
                    <xdr:col>14</xdr:col>
                    <xdr:colOff>152400</xdr:colOff>
                    <xdr:row>232</xdr:row>
                    <xdr:rowOff>133350</xdr:rowOff>
                  </from>
                  <to>
                    <xdr:col>18</xdr:col>
                    <xdr:colOff>19050</xdr:colOff>
                    <xdr:row>236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71" name="Option Button 348">
              <controlPr defaultSize="0" autoFill="0" autoLine="0" autoPict="0">
                <anchor moveWithCells="1">
                  <from>
                    <xdr:col>15</xdr:col>
                    <xdr:colOff>314325</xdr:colOff>
                    <xdr:row>222</xdr:row>
                    <xdr:rowOff>257175</xdr:rowOff>
                  </from>
                  <to>
                    <xdr:col>16</xdr:col>
                    <xdr:colOff>1000125</xdr:colOff>
                    <xdr:row>223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72" name="Option Button 349">
              <controlPr defaultSize="0" autoFill="0" autoLine="0" autoPict="0">
                <anchor moveWithCells="1">
                  <from>
                    <xdr:col>9</xdr:col>
                    <xdr:colOff>447675</xdr:colOff>
                    <xdr:row>222</xdr:row>
                    <xdr:rowOff>209550</xdr:rowOff>
                  </from>
                  <to>
                    <xdr:col>9</xdr:col>
                    <xdr:colOff>2133600</xdr:colOff>
                    <xdr:row>223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73" name="Option Button 350">
              <controlPr defaultSize="0" autoFill="0" autoLine="0" autoPict="0">
                <anchor moveWithCells="1">
                  <from>
                    <xdr:col>19</xdr:col>
                    <xdr:colOff>476250</xdr:colOff>
                    <xdr:row>222</xdr:row>
                    <xdr:rowOff>228600</xdr:rowOff>
                  </from>
                  <to>
                    <xdr:col>20</xdr:col>
                    <xdr:colOff>609600</xdr:colOff>
                    <xdr:row>223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74" name="Group Box 351">
              <controlPr defaultSize="0" autoFill="0" autoPict="0">
                <anchor moveWithCells="1">
                  <from>
                    <xdr:col>9</xdr:col>
                    <xdr:colOff>114300</xdr:colOff>
                    <xdr:row>232</xdr:row>
                    <xdr:rowOff>95250</xdr:rowOff>
                  </from>
                  <to>
                    <xdr:col>9</xdr:col>
                    <xdr:colOff>2209800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75" name="Option Button 352">
              <controlPr defaultSize="0" autoFill="0" autoLine="0" autoPict="0">
                <anchor moveWithCells="1">
                  <from>
                    <xdr:col>9</xdr:col>
                    <xdr:colOff>676275</xdr:colOff>
                    <xdr:row>232</xdr:row>
                    <xdr:rowOff>190500</xdr:rowOff>
                  </from>
                  <to>
                    <xdr:col>9</xdr:col>
                    <xdr:colOff>2000250</xdr:colOff>
                    <xdr:row>233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176" name="Option Button 353">
              <controlPr defaultSize="0" autoFill="0" autoLine="0" autoPict="0">
                <anchor moveWithCells="1">
                  <from>
                    <xdr:col>9</xdr:col>
                    <xdr:colOff>685800</xdr:colOff>
                    <xdr:row>233</xdr:row>
                    <xdr:rowOff>104775</xdr:rowOff>
                  </from>
                  <to>
                    <xdr:col>9</xdr:col>
                    <xdr:colOff>1704975</xdr:colOff>
                    <xdr:row>234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77" name="Option Button 354">
              <controlPr defaultSize="0" autoFill="0" autoLine="0" autoPict="0">
                <anchor moveWithCells="1">
                  <from>
                    <xdr:col>9</xdr:col>
                    <xdr:colOff>685800</xdr:colOff>
                    <xdr:row>234</xdr:row>
                    <xdr:rowOff>123825</xdr:rowOff>
                  </from>
                  <to>
                    <xdr:col>9</xdr:col>
                    <xdr:colOff>1857375</xdr:colOff>
                    <xdr:row>235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178" name="Group Box 355">
              <controlPr defaultSize="0" autoFill="0" autoPict="0">
                <anchor moveWithCells="1">
                  <from>
                    <xdr:col>11</xdr:col>
                    <xdr:colOff>0</xdr:colOff>
                    <xdr:row>232</xdr:row>
                    <xdr:rowOff>114300</xdr:rowOff>
                  </from>
                  <to>
                    <xdr:col>11</xdr:col>
                    <xdr:colOff>2371725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79" name="Option Button 356">
              <controlPr defaultSize="0" autoFill="0" autoLine="0" autoPict="0">
                <anchor moveWithCells="1">
                  <from>
                    <xdr:col>11</xdr:col>
                    <xdr:colOff>771525</xdr:colOff>
                    <xdr:row>232</xdr:row>
                    <xdr:rowOff>228600</xdr:rowOff>
                  </from>
                  <to>
                    <xdr:col>11</xdr:col>
                    <xdr:colOff>1524000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80" name="Option Button 357">
              <controlPr defaultSize="0" autoFill="0" autoLine="0" autoPict="0">
                <anchor moveWithCells="1">
                  <from>
                    <xdr:col>11</xdr:col>
                    <xdr:colOff>771525</xdr:colOff>
                    <xdr:row>233</xdr:row>
                    <xdr:rowOff>133350</xdr:rowOff>
                  </from>
                  <to>
                    <xdr:col>11</xdr:col>
                    <xdr:colOff>1514475</xdr:colOff>
                    <xdr:row>234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81" name="Option Button 358">
              <controlPr defaultSize="0" autoFill="0" autoLine="0" autoPict="0">
                <anchor moveWithCells="1">
                  <from>
                    <xdr:col>11</xdr:col>
                    <xdr:colOff>752475</xdr:colOff>
                    <xdr:row>234</xdr:row>
                    <xdr:rowOff>133350</xdr:rowOff>
                  </from>
                  <to>
                    <xdr:col>11</xdr:col>
                    <xdr:colOff>1724025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82" name="Group Box 359">
              <controlPr defaultSize="0" autoFill="0" autoPict="0">
                <anchor moveWithCells="1">
                  <from>
                    <xdr:col>13</xdr:col>
                    <xdr:colOff>9525</xdr:colOff>
                    <xdr:row>232</xdr:row>
                    <xdr:rowOff>133350</xdr:rowOff>
                  </from>
                  <to>
                    <xdr:col>13</xdr:col>
                    <xdr:colOff>2333625</xdr:colOff>
                    <xdr:row>236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83" name="Option Button 360">
              <controlPr defaultSize="0" autoFill="0" autoLine="0" autoPict="0">
                <anchor moveWithCells="1">
                  <from>
                    <xdr:col>13</xdr:col>
                    <xdr:colOff>838200</xdr:colOff>
                    <xdr:row>232</xdr:row>
                    <xdr:rowOff>238125</xdr:rowOff>
                  </from>
                  <to>
                    <xdr:col>13</xdr:col>
                    <xdr:colOff>1638300</xdr:colOff>
                    <xdr:row>233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84" name="Option Button 361">
              <controlPr defaultSize="0" autoFill="0" autoLine="0" autoPict="0">
                <anchor moveWithCells="1">
                  <from>
                    <xdr:col>13</xdr:col>
                    <xdr:colOff>838200</xdr:colOff>
                    <xdr:row>233</xdr:row>
                    <xdr:rowOff>152400</xdr:rowOff>
                  </from>
                  <to>
                    <xdr:col>13</xdr:col>
                    <xdr:colOff>1724025</xdr:colOff>
                    <xdr:row>234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85" name="Option Button 362">
              <controlPr defaultSize="0" autoFill="0" autoLine="0" autoPict="0">
                <anchor moveWithCells="1">
                  <from>
                    <xdr:col>13</xdr:col>
                    <xdr:colOff>838200</xdr:colOff>
                    <xdr:row>234</xdr:row>
                    <xdr:rowOff>142875</xdr:rowOff>
                  </from>
                  <to>
                    <xdr:col>13</xdr:col>
                    <xdr:colOff>1857375</xdr:colOff>
                    <xdr:row>235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86" name="Option Button 363">
              <controlPr defaultSize="0" autoFill="0" autoLine="0" autoPict="0">
                <anchor moveWithCells="1">
                  <from>
                    <xdr:col>15</xdr:col>
                    <xdr:colOff>142875</xdr:colOff>
                    <xdr:row>232</xdr:row>
                    <xdr:rowOff>238125</xdr:rowOff>
                  </from>
                  <to>
                    <xdr:col>16</xdr:col>
                    <xdr:colOff>819150</xdr:colOff>
                    <xdr:row>233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87" name="Option Button 364">
              <controlPr defaultSize="0" autoFill="0" autoLine="0" autoPict="0">
                <anchor moveWithCells="1">
                  <from>
                    <xdr:col>15</xdr:col>
                    <xdr:colOff>142875</xdr:colOff>
                    <xdr:row>233</xdr:row>
                    <xdr:rowOff>171450</xdr:rowOff>
                  </from>
                  <to>
                    <xdr:col>16</xdr:col>
                    <xdr:colOff>942975</xdr:colOff>
                    <xdr:row>234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88" name="Option Button 365">
              <controlPr defaultSize="0" autoFill="0" autoLine="0" autoPict="0">
                <anchor moveWithCells="1">
                  <from>
                    <xdr:col>15</xdr:col>
                    <xdr:colOff>628650</xdr:colOff>
                    <xdr:row>235</xdr:row>
                    <xdr:rowOff>28575</xdr:rowOff>
                  </from>
                  <to>
                    <xdr:col>16</xdr:col>
                    <xdr:colOff>752475</xdr:colOff>
                    <xdr:row>236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89" name="Check Box 366">
              <controlPr defaultSize="0" autoFill="0" autoLine="0" autoPict="0">
                <anchor moveWithCells="1">
                  <from>
                    <xdr:col>29</xdr:col>
                    <xdr:colOff>133350</xdr:colOff>
                    <xdr:row>243</xdr:row>
                    <xdr:rowOff>133350</xdr:rowOff>
                  </from>
                  <to>
                    <xdr:col>31</xdr:col>
                    <xdr:colOff>800100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90" name="Group Box 367">
              <controlPr defaultSize="0" autoFill="0" autoPict="0">
                <anchor moveWithCells="1">
                  <from>
                    <xdr:col>10</xdr:col>
                    <xdr:colOff>142875</xdr:colOff>
                    <xdr:row>270</xdr:row>
                    <xdr:rowOff>66675</xdr:rowOff>
                  </from>
                  <to>
                    <xdr:col>12</xdr:col>
                    <xdr:colOff>85725</xdr:colOff>
                    <xdr:row>274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91" name="Option Button 368">
              <controlPr defaultSize="0" autoFill="0" autoLine="0" autoPict="0">
                <anchor moveWithCells="1">
                  <from>
                    <xdr:col>11</xdr:col>
                    <xdr:colOff>114300</xdr:colOff>
                    <xdr:row>271</xdr:row>
                    <xdr:rowOff>142875</xdr:rowOff>
                  </from>
                  <to>
                    <xdr:col>11</xdr:col>
                    <xdr:colOff>1562100</xdr:colOff>
                    <xdr:row>272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92" name="Option Button 369">
              <controlPr defaultSize="0" autoFill="0" autoLine="0" autoPict="0">
                <anchor moveWithCells="1">
                  <from>
                    <xdr:col>11</xdr:col>
                    <xdr:colOff>114300</xdr:colOff>
                    <xdr:row>272</xdr:row>
                    <xdr:rowOff>180975</xdr:rowOff>
                  </from>
                  <to>
                    <xdr:col>11</xdr:col>
                    <xdr:colOff>1409700</xdr:colOff>
                    <xdr:row>274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93" name="Option Button 370">
              <controlPr defaultSize="0" autoFill="0" autoLine="0" autoPict="0">
                <anchor moveWithCells="1">
                  <from>
                    <xdr:col>11</xdr:col>
                    <xdr:colOff>1133475</xdr:colOff>
                    <xdr:row>272</xdr:row>
                    <xdr:rowOff>28575</xdr:rowOff>
                  </from>
                  <to>
                    <xdr:col>11</xdr:col>
                    <xdr:colOff>2133600</xdr:colOff>
                    <xdr:row>273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94" name="Check Box 371">
              <controlPr defaultSize="0" autoFill="0" autoLine="0" autoPict="0">
                <anchor moveWithCells="1">
                  <from>
                    <xdr:col>31</xdr:col>
                    <xdr:colOff>857250</xdr:colOff>
                    <xdr:row>261</xdr:row>
                    <xdr:rowOff>85725</xdr:rowOff>
                  </from>
                  <to>
                    <xdr:col>32</xdr:col>
                    <xdr:colOff>762000</xdr:colOff>
                    <xdr:row>261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95" name="Group Box 372">
              <controlPr defaultSize="0" autoFill="0" autoPict="0">
                <anchor moveWithCells="1">
                  <from>
                    <xdr:col>9</xdr:col>
                    <xdr:colOff>561975</xdr:colOff>
                    <xdr:row>244</xdr:row>
                    <xdr:rowOff>333375</xdr:rowOff>
                  </from>
                  <to>
                    <xdr:col>11</xdr:col>
                    <xdr:colOff>1152525</xdr:colOff>
                    <xdr:row>252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96" name="Option Button 373">
              <controlPr defaultSize="0" autoFill="0" autoLine="0" autoPict="0">
                <anchor moveWithCells="1">
                  <from>
                    <xdr:col>9</xdr:col>
                    <xdr:colOff>1371600</xdr:colOff>
                    <xdr:row>250</xdr:row>
                    <xdr:rowOff>66675</xdr:rowOff>
                  </from>
                  <to>
                    <xdr:col>11</xdr:col>
                    <xdr:colOff>723900</xdr:colOff>
                    <xdr:row>250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97" name="Option Button 374">
              <controlPr defaultSize="0" autoFill="0" autoLine="0" autoPict="0">
                <anchor moveWithCells="1">
                  <from>
                    <xdr:col>9</xdr:col>
                    <xdr:colOff>1381125</xdr:colOff>
                    <xdr:row>250</xdr:row>
                    <xdr:rowOff>285750</xdr:rowOff>
                  </from>
                  <to>
                    <xdr:col>11</xdr:col>
                    <xdr:colOff>9525</xdr:colOff>
                    <xdr:row>251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98" name="Group Box 375">
              <controlPr defaultSize="0" autoFill="0" autoPict="0">
                <anchor moveWithCells="1">
                  <from>
                    <xdr:col>8</xdr:col>
                    <xdr:colOff>152400</xdr:colOff>
                    <xdr:row>261</xdr:row>
                    <xdr:rowOff>171450</xdr:rowOff>
                  </from>
                  <to>
                    <xdr:col>9</xdr:col>
                    <xdr:colOff>2362200</xdr:colOff>
                    <xdr:row>269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99" name="Option Button 376">
              <controlPr defaultSize="0" autoFill="0" autoLine="0" autoPict="0">
                <anchor moveWithCells="1">
                  <from>
                    <xdr:col>9</xdr:col>
                    <xdr:colOff>438150</xdr:colOff>
                    <xdr:row>267</xdr:row>
                    <xdr:rowOff>95250</xdr:rowOff>
                  </from>
                  <to>
                    <xdr:col>9</xdr:col>
                    <xdr:colOff>1800225</xdr:colOff>
                    <xdr:row>268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200" name="Option Button 377">
              <controlPr defaultSize="0" autoFill="0" autoLine="0" autoPict="0">
                <anchor moveWithCells="1">
                  <from>
                    <xdr:col>9</xdr:col>
                    <xdr:colOff>447675</xdr:colOff>
                    <xdr:row>268</xdr:row>
                    <xdr:rowOff>66675</xdr:rowOff>
                  </from>
                  <to>
                    <xdr:col>9</xdr:col>
                    <xdr:colOff>1657350</xdr:colOff>
                    <xdr:row>268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201" name="Option Button 378">
              <controlPr defaultSize="0" autoFill="0" autoLine="0" autoPict="0">
                <anchor moveWithCells="1">
                  <from>
                    <xdr:col>9</xdr:col>
                    <xdr:colOff>190500</xdr:colOff>
                    <xdr:row>263</xdr:row>
                    <xdr:rowOff>66675</xdr:rowOff>
                  </from>
                  <to>
                    <xdr:col>9</xdr:col>
                    <xdr:colOff>2076450</xdr:colOff>
                    <xdr:row>263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202" name="Option Button 379">
              <controlPr defaultSize="0" autoFill="0" autoLine="0" autoPict="0">
                <anchor moveWithCells="1">
                  <from>
                    <xdr:col>9</xdr:col>
                    <xdr:colOff>1228725</xdr:colOff>
                    <xdr:row>246</xdr:row>
                    <xdr:rowOff>285750</xdr:rowOff>
                  </from>
                  <to>
                    <xdr:col>11</xdr:col>
                    <xdr:colOff>800100</xdr:colOff>
                    <xdr:row>247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203" name="Group Box 380">
              <controlPr defaultSize="0" autoFill="0" autoPict="0">
                <anchor moveWithCells="1">
                  <from>
                    <xdr:col>13</xdr:col>
                    <xdr:colOff>0</xdr:colOff>
                    <xdr:row>242</xdr:row>
                    <xdr:rowOff>200025</xdr:rowOff>
                  </from>
                  <to>
                    <xdr:col>26</xdr:col>
                    <xdr:colOff>47625</xdr:colOff>
                    <xdr:row>244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204" name="Option Button 381">
              <controlPr defaultSize="0" autoFill="0" autoLine="0" autoPict="0">
                <anchor moveWithCells="1">
                  <from>
                    <xdr:col>13</xdr:col>
                    <xdr:colOff>314325</xdr:colOff>
                    <xdr:row>244</xdr:row>
                    <xdr:rowOff>28575</xdr:rowOff>
                  </from>
                  <to>
                    <xdr:col>13</xdr:col>
                    <xdr:colOff>2209800</xdr:colOff>
                    <xdr:row>244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205" name="Option Button 382">
              <controlPr defaultSize="0" autoFill="0" autoLine="0" autoPict="0">
                <anchor moveWithCells="1">
                  <from>
                    <xdr:col>15</xdr:col>
                    <xdr:colOff>419100</xdr:colOff>
                    <xdr:row>244</xdr:row>
                    <xdr:rowOff>47625</xdr:rowOff>
                  </from>
                  <to>
                    <xdr:col>16</xdr:col>
                    <xdr:colOff>781050</xdr:colOff>
                    <xdr:row>244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206" name="Option Button 383">
              <controlPr defaultSize="0" autoFill="0" autoLine="0" autoPict="0">
                <anchor moveWithCells="1">
                  <from>
                    <xdr:col>22</xdr:col>
                    <xdr:colOff>866775</xdr:colOff>
                    <xdr:row>244</xdr:row>
                    <xdr:rowOff>76200</xdr:rowOff>
                  </from>
                  <to>
                    <xdr:col>23</xdr:col>
                    <xdr:colOff>904875</xdr:colOff>
                    <xdr:row>244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207" name="Group Box 384">
              <controlPr defaultSize="0" autoFill="0" autoPict="0">
                <anchor moveWithCells="1">
                  <from>
                    <xdr:col>11</xdr:col>
                    <xdr:colOff>0</xdr:colOff>
                    <xdr:row>260</xdr:row>
                    <xdr:rowOff>57150</xdr:rowOff>
                  </from>
                  <to>
                    <xdr:col>29</xdr:col>
                    <xdr:colOff>257175</xdr:colOff>
                    <xdr:row>261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208" name="Option Button 385">
              <controlPr defaultSize="0" autoFill="0" autoLine="0" autoPict="0">
                <anchor moveWithCells="1">
                  <from>
                    <xdr:col>11</xdr:col>
                    <xdr:colOff>238125</xdr:colOff>
                    <xdr:row>261</xdr:row>
                    <xdr:rowOff>180975</xdr:rowOff>
                  </from>
                  <to>
                    <xdr:col>11</xdr:col>
                    <xdr:colOff>2076450</xdr:colOff>
                    <xdr:row>261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209" name="Option Button 386">
              <controlPr defaultSize="0" autoFill="0" autoLine="0" autoPict="0">
                <anchor moveWithCells="1">
                  <from>
                    <xdr:col>13</xdr:col>
                    <xdr:colOff>523875</xdr:colOff>
                    <xdr:row>261</xdr:row>
                    <xdr:rowOff>200025</xdr:rowOff>
                  </from>
                  <to>
                    <xdr:col>13</xdr:col>
                    <xdr:colOff>1952625</xdr:colOff>
                    <xdr:row>261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210" name="Option Button 387">
              <controlPr defaultSize="0" autoFill="0" autoLine="0" autoPict="0">
                <anchor moveWithCells="1">
                  <from>
                    <xdr:col>17</xdr:col>
                    <xdr:colOff>38100</xdr:colOff>
                    <xdr:row>261</xdr:row>
                    <xdr:rowOff>190500</xdr:rowOff>
                  </from>
                  <to>
                    <xdr:col>20</xdr:col>
                    <xdr:colOff>714375</xdr:colOff>
                    <xdr:row>261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211" name="Option Button 388">
              <controlPr defaultSize="0" autoFill="0" autoLine="0" autoPict="0">
                <anchor moveWithCells="1">
                  <from>
                    <xdr:col>15</xdr:col>
                    <xdr:colOff>333375</xdr:colOff>
                    <xdr:row>261</xdr:row>
                    <xdr:rowOff>200025</xdr:rowOff>
                  </from>
                  <to>
                    <xdr:col>16</xdr:col>
                    <xdr:colOff>771525</xdr:colOff>
                    <xdr:row>261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212" name="Option Button 389">
              <controlPr defaultSize="0" autoFill="0" autoLine="0" autoPict="0">
                <anchor moveWithCells="1">
                  <from>
                    <xdr:col>27</xdr:col>
                    <xdr:colOff>457200</xdr:colOff>
                    <xdr:row>261</xdr:row>
                    <xdr:rowOff>171450</xdr:rowOff>
                  </from>
                  <to>
                    <xdr:col>28</xdr:col>
                    <xdr:colOff>781050</xdr:colOff>
                    <xdr:row>261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213" name="Group Box 390">
              <controlPr defaultSize="0" autoFill="0" autoPict="0">
                <anchor moveWithCells="1">
                  <from>
                    <xdr:col>28</xdr:col>
                    <xdr:colOff>171450</xdr:colOff>
                    <xdr:row>242</xdr:row>
                    <xdr:rowOff>180975</xdr:rowOff>
                  </from>
                  <to>
                    <xdr:col>31</xdr:col>
                    <xdr:colOff>1114425</xdr:colOff>
                    <xdr:row>244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214" name="Group Box 391">
              <controlPr defaultSize="0" autoFill="0" autoPict="0">
                <anchor moveWithCells="1">
                  <from>
                    <xdr:col>31</xdr:col>
                    <xdr:colOff>304800</xdr:colOff>
                    <xdr:row>259</xdr:row>
                    <xdr:rowOff>304800</xdr:rowOff>
                  </from>
                  <to>
                    <xdr:col>33</xdr:col>
                    <xdr:colOff>342900</xdr:colOff>
                    <xdr:row>261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215" name="Option Button 393">
              <controlPr defaultSize="0" autoFill="0" autoLine="0" autoPict="0">
                <anchor moveWithCells="1">
                  <from>
                    <xdr:col>17</xdr:col>
                    <xdr:colOff>657225</xdr:colOff>
                    <xdr:row>244</xdr:row>
                    <xdr:rowOff>28575</xdr:rowOff>
                  </from>
                  <to>
                    <xdr:col>19</xdr:col>
                    <xdr:colOff>1371600</xdr:colOff>
                    <xdr:row>244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216" name="Group Box 394">
              <controlPr defaultSize="0" autoFill="0" autoPict="0">
                <anchor moveWithCells="1">
                  <from>
                    <xdr:col>22</xdr:col>
                    <xdr:colOff>428625</xdr:colOff>
                    <xdr:row>253</xdr:row>
                    <xdr:rowOff>104775</xdr:rowOff>
                  </from>
                  <to>
                    <xdr:col>23</xdr:col>
                    <xdr:colOff>1143000</xdr:colOff>
                    <xdr:row>256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217" name="Option Button 395">
              <controlPr defaultSize="0" autoFill="0" autoLine="0" autoPict="0">
                <anchor moveWithCells="1">
                  <from>
                    <xdr:col>22</xdr:col>
                    <xdr:colOff>1028700</xdr:colOff>
                    <xdr:row>254</xdr:row>
                    <xdr:rowOff>28575</xdr:rowOff>
                  </from>
                  <to>
                    <xdr:col>23</xdr:col>
                    <xdr:colOff>1028700</xdr:colOff>
                    <xdr:row>255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218" name="Option Button 396">
              <controlPr defaultSize="0" autoFill="0" autoLine="0" autoPict="0">
                <anchor moveWithCells="1">
                  <from>
                    <xdr:col>22</xdr:col>
                    <xdr:colOff>1028700</xdr:colOff>
                    <xdr:row>255</xdr:row>
                    <xdr:rowOff>9525</xdr:rowOff>
                  </from>
                  <to>
                    <xdr:col>23</xdr:col>
                    <xdr:colOff>1066800</xdr:colOff>
                    <xdr:row>255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219" name="Option Button 397">
              <controlPr defaultSize="0" autoFill="0" autoLine="0" autoPict="0">
                <anchor moveWithCells="1">
                  <from>
                    <xdr:col>15</xdr:col>
                    <xdr:colOff>1943100</xdr:colOff>
                    <xdr:row>242</xdr:row>
                    <xdr:rowOff>285750</xdr:rowOff>
                  </from>
                  <to>
                    <xdr:col>18</xdr:col>
                    <xdr:colOff>9525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220" name="Group Box 398">
              <controlPr defaultSize="0" autoFill="0" autoPict="0">
                <anchor moveWithCells="1">
                  <from>
                    <xdr:col>9</xdr:col>
                    <xdr:colOff>28575</xdr:colOff>
                    <xdr:row>293</xdr:row>
                    <xdr:rowOff>104775</xdr:rowOff>
                  </from>
                  <to>
                    <xdr:col>9</xdr:col>
                    <xdr:colOff>2305050</xdr:colOff>
                    <xdr:row>298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221" name="Group Box 399">
              <controlPr defaultSize="0" autoFill="0" autoPict="0">
                <anchor moveWithCells="1">
                  <from>
                    <xdr:col>11</xdr:col>
                    <xdr:colOff>66675</xdr:colOff>
                    <xdr:row>293</xdr:row>
                    <xdr:rowOff>104775</xdr:rowOff>
                  </from>
                  <to>
                    <xdr:col>11</xdr:col>
                    <xdr:colOff>2352675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222" name="Option Button 400">
              <controlPr defaultSize="0" autoFill="0" autoLine="0" autoPict="0">
                <anchor moveWithCells="1">
                  <from>
                    <xdr:col>11</xdr:col>
                    <xdr:colOff>304800</xdr:colOff>
                    <xdr:row>294</xdr:row>
                    <xdr:rowOff>9525</xdr:rowOff>
                  </from>
                  <to>
                    <xdr:col>11</xdr:col>
                    <xdr:colOff>2066925</xdr:colOff>
                    <xdr:row>294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223" name="Option Button 401">
              <controlPr defaultSize="0" autoFill="0" autoLine="0" autoPict="0">
                <anchor moveWithCells="1">
                  <from>
                    <xdr:col>11</xdr:col>
                    <xdr:colOff>304800</xdr:colOff>
                    <xdr:row>294</xdr:row>
                    <xdr:rowOff>228600</xdr:rowOff>
                  </from>
                  <to>
                    <xdr:col>11</xdr:col>
                    <xdr:colOff>1866900</xdr:colOff>
                    <xdr:row>296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224" name="Option Button 402">
              <controlPr defaultSize="0" autoFill="0" autoLine="0" autoPict="0">
                <anchor moveWithCells="1">
                  <from>
                    <xdr:col>11</xdr:col>
                    <xdr:colOff>304800</xdr:colOff>
                    <xdr:row>296</xdr:row>
                    <xdr:rowOff>9525</xdr:rowOff>
                  </from>
                  <to>
                    <xdr:col>11</xdr:col>
                    <xdr:colOff>2038350</xdr:colOff>
                    <xdr:row>296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225" name="Group Box 403">
              <controlPr defaultSize="0" autoFill="0" autoPict="0">
                <anchor moveWithCells="1">
                  <from>
                    <xdr:col>9</xdr:col>
                    <xdr:colOff>76200</xdr:colOff>
                    <xdr:row>282</xdr:row>
                    <xdr:rowOff>28575</xdr:rowOff>
                  </from>
                  <to>
                    <xdr:col>12</xdr:col>
                    <xdr:colOff>9525</xdr:colOff>
                    <xdr:row>284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226" name="Option Button 404">
              <controlPr defaultSize="0" autoFill="0" autoLine="0" autoPict="0">
                <anchor moveWithCells="1">
                  <from>
                    <xdr:col>9</xdr:col>
                    <xdr:colOff>657225</xdr:colOff>
                    <xdr:row>283</xdr:row>
                    <xdr:rowOff>209550</xdr:rowOff>
                  </from>
                  <to>
                    <xdr:col>9</xdr:col>
                    <xdr:colOff>2190750</xdr:colOff>
                    <xdr:row>284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227" name="Option Button 405">
              <controlPr defaultSize="0" autoFill="0" autoLine="0" autoPict="0">
                <anchor moveWithCells="1">
                  <from>
                    <xdr:col>11</xdr:col>
                    <xdr:colOff>200025</xdr:colOff>
                    <xdr:row>283</xdr:row>
                    <xdr:rowOff>114300</xdr:rowOff>
                  </from>
                  <to>
                    <xdr:col>11</xdr:col>
                    <xdr:colOff>2114550</xdr:colOff>
                    <xdr:row>284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228" name="Option Button 406">
              <controlPr defaultSize="0" autoFill="0" autoLine="0" autoPict="0">
                <anchor moveWithCells="1">
                  <from>
                    <xdr:col>11</xdr:col>
                    <xdr:colOff>200025</xdr:colOff>
                    <xdr:row>283</xdr:row>
                    <xdr:rowOff>295275</xdr:rowOff>
                  </from>
                  <to>
                    <xdr:col>11</xdr:col>
                    <xdr:colOff>2190750</xdr:colOff>
                    <xdr:row>284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229" name="Option Button 407">
              <controlPr defaultSize="0" autoFill="0" autoLine="0" autoPict="0">
                <anchor moveWithCells="1">
                  <from>
                    <xdr:col>11</xdr:col>
                    <xdr:colOff>304800</xdr:colOff>
                    <xdr:row>297</xdr:row>
                    <xdr:rowOff>28575</xdr:rowOff>
                  </from>
                  <to>
                    <xdr:col>11</xdr:col>
                    <xdr:colOff>1619250</xdr:colOff>
                    <xdr:row>298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230" name="Option Button 408">
              <controlPr defaultSize="0" autoFill="0" autoLine="0" autoPict="0">
                <anchor moveWithCells="1">
                  <from>
                    <xdr:col>9</xdr:col>
                    <xdr:colOff>190500</xdr:colOff>
                    <xdr:row>294</xdr:row>
                    <xdr:rowOff>38100</xdr:rowOff>
                  </from>
                  <to>
                    <xdr:col>9</xdr:col>
                    <xdr:colOff>1895475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231" name="Option Button 409">
              <controlPr defaultSize="0" autoFill="0" autoLine="0" autoPict="0">
                <anchor moveWithCells="1">
                  <from>
                    <xdr:col>9</xdr:col>
                    <xdr:colOff>190500</xdr:colOff>
                    <xdr:row>295</xdr:row>
                    <xdr:rowOff>9525</xdr:rowOff>
                  </from>
                  <to>
                    <xdr:col>9</xdr:col>
                    <xdr:colOff>1819275</xdr:colOff>
                    <xdr:row>296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232" name="Option Button 410">
              <controlPr defaultSize="0" autoFill="0" autoLine="0" autoPict="0">
                <anchor moveWithCells="1">
                  <from>
                    <xdr:col>9</xdr:col>
                    <xdr:colOff>190500</xdr:colOff>
                    <xdr:row>296</xdr:row>
                    <xdr:rowOff>57150</xdr:rowOff>
                  </from>
                  <to>
                    <xdr:col>9</xdr:col>
                    <xdr:colOff>1895475</xdr:colOff>
                    <xdr:row>296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233" name="Option Button 411">
              <controlPr defaultSize="0" autoFill="0" autoLine="0" autoPict="0">
                <anchor moveWithCells="1">
                  <from>
                    <xdr:col>9</xdr:col>
                    <xdr:colOff>161925</xdr:colOff>
                    <xdr:row>297</xdr:row>
                    <xdr:rowOff>57150</xdr:rowOff>
                  </from>
                  <to>
                    <xdr:col>9</xdr:col>
                    <xdr:colOff>1333500</xdr:colOff>
                    <xdr:row>298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234" name="Option Button 412">
              <controlPr defaultSize="0" autoFill="0" autoLine="0" autoPict="0">
                <anchor moveWithCells="1">
                  <from>
                    <xdr:col>9</xdr:col>
                    <xdr:colOff>1971675</xdr:colOff>
                    <xdr:row>282</xdr:row>
                    <xdr:rowOff>104775</xdr:rowOff>
                  </from>
                  <to>
                    <xdr:col>11</xdr:col>
                    <xdr:colOff>790575</xdr:colOff>
                    <xdr:row>283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235" name="Group Box 413">
              <controlPr defaultSize="0" autoFill="0" autoPict="0">
                <anchor moveWithCells="1">
                  <from>
                    <xdr:col>12</xdr:col>
                    <xdr:colOff>114300</xdr:colOff>
                    <xdr:row>317</xdr:row>
                    <xdr:rowOff>104775</xdr:rowOff>
                  </from>
                  <to>
                    <xdr:col>14</xdr:col>
                    <xdr:colOff>57150</xdr:colOff>
                    <xdr:row>323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236" name="Check Box 414">
              <controlPr defaultSize="0" autoFill="0" autoLine="0" autoPict="0">
                <anchor moveWithCells="1">
                  <from>
                    <xdr:col>13</xdr:col>
                    <xdr:colOff>200025</xdr:colOff>
                    <xdr:row>307</xdr:row>
                    <xdr:rowOff>228600</xdr:rowOff>
                  </from>
                  <to>
                    <xdr:col>13</xdr:col>
                    <xdr:colOff>2324100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237" name="Check Box 415">
              <controlPr defaultSize="0" autoFill="0" autoLine="0" autoPict="0">
                <anchor moveWithCells="1">
                  <from>
                    <xdr:col>15</xdr:col>
                    <xdr:colOff>295275</xdr:colOff>
                    <xdr:row>307</xdr:row>
                    <xdr:rowOff>228600</xdr:rowOff>
                  </from>
                  <to>
                    <xdr:col>16</xdr:col>
                    <xdr:colOff>990600</xdr:colOff>
                    <xdr:row>308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238" name="Check Box 416">
              <controlPr defaultSize="0" autoFill="0" autoLine="0" autoPict="0">
                <anchor moveWithCells="1">
                  <from>
                    <xdr:col>34</xdr:col>
                    <xdr:colOff>647700</xdr:colOff>
                    <xdr:row>307</xdr:row>
                    <xdr:rowOff>266700</xdr:rowOff>
                  </from>
                  <to>
                    <xdr:col>35</xdr:col>
                    <xdr:colOff>1228725</xdr:colOff>
                    <xdr:row>308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239" name="Group Box 417">
              <controlPr defaultSize="0" autoFill="0" autoPict="0">
                <anchor moveWithCells="1">
                  <from>
                    <xdr:col>34</xdr:col>
                    <xdr:colOff>9525</xdr:colOff>
                    <xdr:row>317</xdr:row>
                    <xdr:rowOff>133350</xdr:rowOff>
                  </from>
                  <to>
                    <xdr:col>35</xdr:col>
                    <xdr:colOff>1228725</xdr:colOff>
                    <xdr:row>321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240" name="Check Box 421">
              <controlPr defaultSize="0" autoFill="0" autoLine="0" autoPict="0">
                <anchor moveWithCells="1">
                  <from>
                    <xdr:col>9</xdr:col>
                    <xdr:colOff>295275</xdr:colOff>
                    <xdr:row>307</xdr:row>
                    <xdr:rowOff>209550</xdr:rowOff>
                  </from>
                  <to>
                    <xdr:col>9</xdr:col>
                    <xdr:colOff>2352675</xdr:colOff>
                    <xdr:row>308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241" name="Check Box 422">
              <controlPr defaultSize="0" autoFill="0" autoLine="0" autoPict="0">
                <anchor moveWithCells="1">
                  <from>
                    <xdr:col>11</xdr:col>
                    <xdr:colOff>304800</xdr:colOff>
                    <xdr:row>307</xdr:row>
                    <xdr:rowOff>200025</xdr:rowOff>
                  </from>
                  <to>
                    <xdr:col>11</xdr:col>
                    <xdr:colOff>2152650</xdr:colOff>
                    <xdr:row>308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242" name="Check Box 423">
              <controlPr defaultSize="0" autoFill="0" autoLine="0" autoPict="0">
                <anchor moveWithCells="1">
                  <from>
                    <xdr:col>19</xdr:col>
                    <xdr:colOff>561975</xdr:colOff>
                    <xdr:row>307</xdr:row>
                    <xdr:rowOff>238125</xdr:rowOff>
                  </from>
                  <to>
                    <xdr:col>20</xdr:col>
                    <xdr:colOff>790575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243" name="Group Box 424">
              <controlPr defaultSize="0" autoFill="0" autoPict="0">
                <anchor moveWithCells="1">
                  <from>
                    <xdr:col>11</xdr:col>
                    <xdr:colOff>57150</xdr:colOff>
                    <xdr:row>317</xdr:row>
                    <xdr:rowOff>114300</xdr:rowOff>
                  </from>
                  <to>
                    <xdr:col>11</xdr:col>
                    <xdr:colOff>2133600</xdr:colOff>
                    <xdr:row>322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244" name="Check Box 425">
              <controlPr defaultSize="0" autoFill="0" autoLine="0" autoPict="0">
                <anchor moveWithCells="1">
                  <from>
                    <xdr:col>13</xdr:col>
                    <xdr:colOff>152400</xdr:colOff>
                    <xdr:row>317</xdr:row>
                    <xdr:rowOff>257175</xdr:rowOff>
                  </from>
                  <to>
                    <xdr:col>13</xdr:col>
                    <xdr:colOff>1819275</xdr:colOff>
                    <xdr:row>318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245" name="Check Box 426">
              <controlPr defaultSize="0" autoFill="0" autoLine="0" autoPict="0">
                <anchor moveWithCells="1">
                  <from>
                    <xdr:col>13</xdr:col>
                    <xdr:colOff>161925</xdr:colOff>
                    <xdr:row>319</xdr:row>
                    <xdr:rowOff>19050</xdr:rowOff>
                  </from>
                  <to>
                    <xdr:col>13</xdr:col>
                    <xdr:colOff>1847850</xdr:colOff>
                    <xdr:row>320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246" name="Check Box 427">
              <controlPr defaultSize="0" autoFill="0" autoLine="0" autoPict="0">
                <anchor moveWithCells="1">
                  <from>
                    <xdr:col>13</xdr:col>
                    <xdr:colOff>161925</xdr:colOff>
                    <xdr:row>320</xdr:row>
                    <xdr:rowOff>85725</xdr:rowOff>
                  </from>
                  <to>
                    <xdr:col>13</xdr:col>
                    <xdr:colOff>1905000</xdr:colOff>
                    <xdr:row>321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247" name="Check Box 428">
              <controlPr defaultSize="0" autoFill="0" autoLine="0" autoPict="0">
                <anchor moveWithCells="1">
                  <from>
                    <xdr:col>13</xdr:col>
                    <xdr:colOff>161925</xdr:colOff>
                    <xdr:row>321</xdr:row>
                    <xdr:rowOff>152400</xdr:rowOff>
                  </from>
                  <to>
                    <xdr:col>13</xdr:col>
                    <xdr:colOff>1838325</xdr:colOff>
                    <xdr:row>322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248" name="Check Box 429">
              <controlPr defaultSize="0" autoFill="0" autoLine="0" autoPict="0">
                <anchor moveWithCells="1">
                  <from>
                    <xdr:col>13</xdr:col>
                    <xdr:colOff>161925</xdr:colOff>
                    <xdr:row>323</xdr:row>
                    <xdr:rowOff>28575</xdr:rowOff>
                  </from>
                  <to>
                    <xdr:col>13</xdr:col>
                    <xdr:colOff>1819275</xdr:colOff>
                    <xdr:row>323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249" name="Option Button 430">
              <controlPr defaultSize="0" autoFill="0" autoLine="0" autoPict="0">
                <anchor moveWithCells="1">
                  <from>
                    <xdr:col>11</xdr:col>
                    <xdr:colOff>419100</xdr:colOff>
                    <xdr:row>317</xdr:row>
                    <xdr:rowOff>228600</xdr:rowOff>
                  </from>
                  <to>
                    <xdr:col>11</xdr:col>
                    <xdr:colOff>1419225</xdr:colOff>
                    <xdr:row>318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250" name="Option Button 431">
              <controlPr defaultSize="0" autoFill="0" autoLine="0" autoPict="0">
                <anchor moveWithCells="1">
                  <from>
                    <xdr:col>11</xdr:col>
                    <xdr:colOff>419100</xdr:colOff>
                    <xdr:row>318</xdr:row>
                    <xdr:rowOff>123825</xdr:rowOff>
                  </from>
                  <to>
                    <xdr:col>11</xdr:col>
                    <xdr:colOff>1057275</xdr:colOff>
                    <xdr:row>319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251" name="Option Button 432">
              <controlPr defaultSize="0" autoFill="0" autoLine="0" autoPict="0">
                <anchor moveWithCells="1">
                  <from>
                    <xdr:col>11</xdr:col>
                    <xdr:colOff>419100</xdr:colOff>
                    <xdr:row>319</xdr:row>
                    <xdr:rowOff>57150</xdr:rowOff>
                  </from>
                  <to>
                    <xdr:col>11</xdr:col>
                    <xdr:colOff>1733550</xdr:colOff>
                    <xdr:row>320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252" name="Group Box 433">
              <controlPr defaultSize="0" autoFill="0" autoPict="0">
                <anchor moveWithCells="1">
                  <from>
                    <xdr:col>11</xdr:col>
                    <xdr:colOff>57150</xdr:colOff>
                    <xdr:row>322</xdr:row>
                    <xdr:rowOff>114300</xdr:rowOff>
                  </from>
                  <to>
                    <xdr:col>11</xdr:col>
                    <xdr:colOff>2133600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253" name="Option Button 434">
              <controlPr defaultSize="0" autoFill="0" autoLine="0" autoPict="0">
                <anchor moveWithCells="1">
                  <from>
                    <xdr:col>11</xdr:col>
                    <xdr:colOff>466725</xdr:colOff>
                    <xdr:row>322</xdr:row>
                    <xdr:rowOff>190500</xdr:rowOff>
                  </from>
                  <to>
                    <xdr:col>11</xdr:col>
                    <xdr:colOff>1704975</xdr:colOff>
                    <xdr:row>323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254" name="Option Button 435">
              <controlPr defaultSize="0" autoFill="0" autoLine="0" autoPict="0">
                <anchor moveWithCells="1">
                  <from>
                    <xdr:col>11</xdr:col>
                    <xdr:colOff>457200</xdr:colOff>
                    <xdr:row>323</xdr:row>
                    <xdr:rowOff>171450</xdr:rowOff>
                  </from>
                  <to>
                    <xdr:col>11</xdr:col>
                    <xdr:colOff>1466850</xdr:colOff>
                    <xdr:row>323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255" name="Option Button 436">
              <controlPr defaultSize="0" autoFill="0" autoLine="0" autoPict="0">
                <anchor moveWithCells="1">
                  <from>
                    <xdr:col>11</xdr:col>
                    <xdr:colOff>457200</xdr:colOff>
                    <xdr:row>323</xdr:row>
                    <xdr:rowOff>352425</xdr:rowOff>
                  </from>
                  <to>
                    <xdr:col>11</xdr:col>
                    <xdr:colOff>1295400</xdr:colOff>
                    <xdr:row>324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256" name="Group Box 437">
              <controlPr defaultSize="0" autoFill="0" autoPict="0">
                <anchor moveWithCells="1">
                  <from>
                    <xdr:col>34</xdr:col>
                    <xdr:colOff>0</xdr:colOff>
                    <xdr:row>323</xdr:row>
                    <xdr:rowOff>38100</xdr:rowOff>
                  </from>
                  <to>
                    <xdr:col>35</xdr:col>
                    <xdr:colOff>1190625</xdr:colOff>
                    <xdr:row>325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257" name="Option Button 438">
              <controlPr defaultSize="0" autoFill="0" autoLine="0" autoPict="0">
                <anchor moveWithCells="1">
                  <from>
                    <xdr:col>34</xdr:col>
                    <xdr:colOff>9525</xdr:colOff>
                    <xdr:row>323</xdr:row>
                    <xdr:rowOff>190500</xdr:rowOff>
                  </from>
                  <to>
                    <xdr:col>35</xdr:col>
                    <xdr:colOff>695325</xdr:colOff>
                    <xdr:row>323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258" name="Option Button 439">
              <controlPr defaultSize="0" autoFill="0" autoLine="0" autoPict="0">
                <anchor moveWithCells="1">
                  <from>
                    <xdr:col>34</xdr:col>
                    <xdr:colOff>9525</xdr:colOff>
                    <xdr:row>323</xdr:row>
                    <xdr:rowOff>381000</xdr:rowOff>
                  </from>
                  <to>
                    <xdr:col>35</xdr:col>
                    <xdr:colOff>847725</xdr:colOff>
                    <xdr:row>324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259" name="Group Box 440">
              <controlPr defaultSize="0" autoFill="0" autoPict="0">
                <anchor moveWithCells="1">
                  <from>
                    <xdr:col>24</xdr:col>
                    <xdr:colOff>238125</xdr:colOff>
                    <xdr:row>305</xdr:row>
                    <xdr:rowOff>276225</xdr:rowOff>
                  </from>
                  <to>
                    <xdr:col>33</xdr:col>
                    <xdr:colOff>95250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260" name="Option Button 441">
              <controlPr defaultSize="0" autoFill="0" autoLine="0" autoPict="0">
                <anchor moveWithCells="1">
                  <from>
                    <xdr:col>25</xdr:col>
                    <xdr:colOff>123825</xdr:colOff>
                    <xdr:row>307</xdr:row>
                    <xdr:rowOff>209550</xdr:rowOff>
                  </from>
                  <to>
                    <xdr:col>29</xdr:col>
                    <xdr:colOff>123825</xdr:colOff>
                    <xdr:row>308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261" name="Option Button 442">
              <controlPr defaultSize="0" autoFill="0" autoLine="0" autoPict="0">
                <anchor moveWithCells="1">
                  <from>
                    <xdr:col>30</xdr:col>
                    <xdr:colOff>85725</xdr:colOff>
                    <xdr:row>307</xdr:row>
                    <xdr:rowOff>190500</xdr:rowOff>
                  </from>
                  <to>
                    <xdr:col>32</xdr:col>
                    <xdr:colOff>933450</xdr:colOff>
                    <xdr:row>308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262" name="Option Button 443">
              <controlPr defaultSize="0" autoFill="0" autoLine="0" autoPict="0">
                <anchor moveWithCells="1">
                  <from>
                    <xdr:col>28</xdr:col>
                    <xdr:colOff>628650</xdr:colOff>
                    <xdr:row>306</xdr:row>
                    <xdr:rowOff>47625</xdr:rowOff>
                  </from>
                  <to>
                    <xdr:col>31</xdr:col>
                    <xdr:colOff>238125</xdr:colOff>
                    <xdr:row>307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263" name="Option Button 444">
              <controlPr defaultSize="0" autoFill="0" autoLine="0" autoPict="0">
                <anchor moveWithCells="1">
                  <from>
                    <xdr:col>11</xdr:col>
                    <xdr:colOff>419100</xdr:colOff>
                    <xdr:row>320</xdr:row>
                    <xdr:rowOff>142875</xdr:rowOff>
                  </from>
                  <to>
                    <xdr:col>11</xdr:col>
                    <xdr:colOff>1323975</xdr:colOff>
                    <xdr:row>321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264" name="Option Button 445">
              <controlPr defaultSize="0" autoFill="0" autoLine="0" autoPict="0">
                <anchor moveWithCells="1">
                  <from>
                    <xdr:col>34</xdr:col>
                    <xdr:colOff>9525</xdr:colOff>
                    <xdr:row>324</xdr:row>
                    <xdr:rowOff>133350</xdr:rowOff>
                  </from>
                  <to>
                    <xdr:col>35</xdr:col>
                    <xdr:colOff>114300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265" name="Option Button 446">
              <controlPr defaultSize="0" autoFill="0" autoLine="0" autoPict="0">
                <anchor moveWithCells="1">
                  <from>
                    <xdr:col>22</xdr:col>
                    <xdr:colOff>133350</xdr:colOff>
                    <xdr:row>261</xdr:row>
                    <xdr:rowOff>190500</xdr:rowOff>
                  </from>
                  <to>
                    <xdr:col>23</xdr:col>
                    <xdr:colOff>1009650</xdr:colOff>
                    <xdr:row>261</xdr:row>
                    <xdr:rowOff>409575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266" name="Option Button 447">
              <controlPr defaultSize="0" autoFill="0" autoLine="0" autoPict="0">
                <anchor moveWithCells="1">
                  <from>
                    <xdr:col>22</xdr:col>
                    <xdr:colOff>1009650</xdr:colOff>
                    <xdr:row>255</xdr:row>
                    <xdr:rowOff>295275</xdr:rowOff>
                  </from>
                  <to>
                    <xdr:col>23</xdr:col>
                    <xdr:colOff>1057275</xdr:colOff>
                    <xdr:row>256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267" name="Check Box 448">
              <controlPr defaultSize="0" autoFill="0" autoLine="0" autoPict="0">
                <anchor moveWithCells="1">
                  <from>
                    <xdr:col>22</xdr:col>
                    <xdr:colOff>400050</xdr:colOff>
                    <xdr:row>307</xdr:row>
                    <xdr:rowOff>219075</xdr:rowOff>
                  </from>
                  <to>
                    <xdr:col>23</xdr:col>
                    <xdr:colOff>1123950</xdr:colOff>
                    <xdr:row>308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268" name="Group Box 449">
              <controlPr defaultSize="0" autoFill="0" autoPict="0">
                <anchor moveWithCells="1">
                  <from>
                    <xdr:col>9</xdr:col>
                    <xdr:colOff>28575</xdr:colOff>
                    <xdr:row>18</xdr:row>
                    <xdr:rowOff>104775</xdr:rowOff>
                  </from>
                  <to>
                    <xdr:col>15</xdr:col>
                    <xdr:colOff>1066800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269" name="Option Button 450">
              <controlPr defaultSize="0" autoFill="0" autoLine="0" autoPict="0">
                <anchor moveWithCells="1">
                  <from>
                    <xdr:col>9</xdr:col>
                    <xdr:colOff>590550</xdr:colOff>
                    <xdr:row>20</xdr:row>
                    <xdr:rowOff>9525</xdr:rowOff>
                  </from>
                  <to>
                    <xdr:col>9</xdr:col>
                    <xdr:colOff>1552575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270" name="Option Button 451">
              <controlPr defaultSize="0" autoFill="0" autoLine="0" autoPict="0">
                <anchor moveWithCells="1">
                  <from>
                    <xdr:col>11</xdr:col>
                    <xdr:colOff>238125</xdr:colOff>
                    <xdr:row>20</xdr:row>
                    <xdr:rowOff>9525</xdr:rowOff>
                  </from>
                  <to>
                    <xdr:col>11</xdr:col>
                    <xdr:colOff>1314450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271" name="Option Button 452">
              <controlPr defaultSize="0" autoFill="0" autoLine="0" autoPict="0">
                <anchor moveWithCells="1">
                  <from>
                    <xdr:col>12</xdr:col>
                    <xdr:colOff>9525</xdr:colOff>
                    <xdr:row>20</xdr:row>
                    <xdr:rowOff>0</xdr:rowOff>
                  </from>
                  <to>
                    <xdr:col>13</xdr:col>
                    <xdr:colOff>895350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272" name="Option Button 453">
              <controlPr defaultSize="0" autoFill="0" autoLine="0" autoPict="0">
                <anchor moveWithCells="1">
                  <from>
                    <xdr:col>13</xdr:col>
                    <xdr:colOff>1866900</xdr:colOff>
                    <xdr:row>19</xdr:row>
                    <xdr:rowOff>180975</xdr:rowOff>
                  </from>
                  <to>
                    <xdr:col>15</xdr:col>
                    <xdr:colOff>428625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273" name="Option Button 454">
              <controlPr defaultSize="0" autoFill="0" autoLine="0" autoPict="0">
                <anchor moveWithCells="1">
                  <from>
                    <xdr:col>11</xdr:col>
                    <xdr:colOff>1266825</xdr:colOff>
                    <xdr:row>18</xdr:row>
                    <xdr:rowOff>171450</xdr:rowOff>
                  </from>
                  <to>
                    <xdr:col>13</xdr:col>
                    <xdr:colOff>209550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274" name="Group Box 455">
              <controlPr defaultSize="0" autoFill="0" autoPict="0">
                <anchor moveWithCells="1">
                  <from>
                    <xdr:col>16</xdr:col>
                    <xdr:colOff>552450</xdr:colOff>
                    <xdr:row>18</xdr:row>
                    <xdr:rowOff>104775</xdr:rowOff>
                  </from>
                  <to>
                    <xdr:col>25</xdr:col>
                    <xdr:colOff>76200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275" name="Group Box 456">
              <controlPr defaultSize="0" autoFill="0" autoPict="0">
                <anchor moveWithCells="1">
                  <from>
                    <xdr:col>13</xdr:col>
                    <xdr:colOff>371475</xdr:colOff>
                    <xdr:row>12</xdr:row>
                    <xdr:rowOff>142875</xdr:rowOff>
                  </from>
                  <to>
                    <xdr:col>20</xdr:col>
                    <xdr:colOff>466725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276" name="Option Button 457">
              <controlPr defaultSize="0" autoFill="0" autoLine="0" autoPict="0">
                <anchor moveWithCells="1">
                  <from>
                    <xdr:col>13</xdr:col>
                    <xdr:colOff>1390650</xdr:colOff>
                    <xdr:row>14</xdr:row>
                    <xdr:rowOff>95250</xdr:rowOff>
                  </from>
                  <to>
                    <xdr:col>15</xdr:col>
                    <xdr:colOff>276225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277" name="Option Button 458">
              <controlPr defaultSize="0" autoFill="0" autoLine="0" autoPict="0">
                <anchor moveWithCells="1">
                  <from>
                    <xdr:col>16</xdr:col>
                    <xdr:colOff>914400</xdr:colOff>
                    <xdr:row>14</xdr:row>
                    <xdr:rowOff>85725</xdr:rowOff>
                  </from>
                  <to>
                    <xdr:col>19</xdr:col>
                    <xdr:colOff>1028700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278" name="Option Button 459">
              <controlPr defaultSize="0" autoFill="0" autoLine="0" autoPict="0">
                <anchor moveWithCells="1">
                  <from>
                    <xdr:col>15</xdr:col>
                    <xdr:colOff>476250</xdr:colOff>
                    <xdr:row>13</xdr:row>
                    <xdr:rowOff>47625</xdr:rowOff>
                  </from>
                  <to>
                    <xdr:col>17</xdr:col>
                    <xdr:colOff>57150</xdr:colOff>
                    <xdr:row>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279" name="Option Button 460">
              <controlPr defaultSize="0" autoFill="0" autoLine="0" autoPict="0">
                <anchor moveWithCells="1">
                  <from>
                    <xdr:col>16</xdr:col>
                    <xdr:colOff>838200</xdr:colOff>
                    <xdr:row>20</xdr:row>
                    <xdr:rowOff>76200</xdr:rowOff>
                  </from>
                  <to>
                    <xdr:col>19</xdr:col>
                    <xdr:colOff>219075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280" name="Option Button 461">
              <controlPr defaultSize="0" autoFill="0" autoLine="0" autoPict="0">
                <anchor moveWithCells="1">
                  <from>
                    <xdr:col>19</xdr:col>
                    <xdr:colOff>828675</xdr:colOff>
                    <xdr:row>20</xdr:row>
                    <xdr:rowOff>47625</xdr:rowOff>
                  </from>
                  <to>
                    <xdr:col>20</xdr:col>
                    <xdr:colOff>304800</xdr:colOff>
                    <xdr:row>21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281" name="Option Button 462">
              <controlPr defaultSize="0" autoFill="0" autoLine="0" autoPict="0">
                <anchor moveWithCells="1">
                  <from>
                    <xdr:col>21</xdr:col>
                    <xdr:colOff>28575</xdr:colOff>
                    <xdr:row>20</xdr:row>
                    <xdr:rowOff>66675</xdr:rowOff>
                  </from>
                  <to>
                    <xdr:col>22</xdr:col>
                    <xdr:colOff>742950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282" name="Option Button 463">
              <controlPr defaultSize="0" autoFill="0" autoLine="0" autoPict="0">
                <anchor moveWithCells="1">
                  <from>
                    <xdr:col>23</xdr:col>
                    <xdr:colOff>95250</xdr:colOff>
                    <xdr:row>20</xdr:row>
                    <xdr:rowOff>47625</xdr:rowOff>
                  </from>
                  <to>
                    <xdr:col>23</xdr:col>
                    <xdr:colOff>1104900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283" name="Option Button 464">
              <controlPr defaultSize="0" autoFill="0" autoLine="0" autoPict="0">
                <anchor moveWithCells="1">
                  <from>
                    <xdr:col>20</xdr:col>
                    <xdr:colOff>47625</xdr:colOff>
                    <xdr:row>19</xdr:row>
                    <xdr:rowOff>47625</xdr:rowOff>
                  </from>
                  <to>
                    <xdr:col>22</xdr:col>
                    <xdr:colOff>152400</xdr:colOff>
                    <xdr:row>20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284" name="Option Button 467">
              <controlPr defaultSize="0" autoFill="0" autoLine="0" autoPict="0">
                <anchor moveWithCells="1">
                  <from>
                    <xdr:col>13</xdr:col>
                    <xdr:colOff>257175</xdr:colOff>
                    <xdr:row>221</xdr:row>
                    <xdr:rowOff>123825</xdr:rowOff>
                  </from>
                  <to>
                    <xdr:col>13</xdr:col>
                    <xdr:colOff>2057400</xdr:colOff>
                    <xdr:row>222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285" name="Group Box 468">
              <controlPr defaultSize="0" autoFill="0" autoPict="0">
                <anchor moveWithCells="1">
                  <from>
                    <xdr:col>19</xdr:col>
                    <xdr:colOff>28575</xdr:colOff>
                    <xdr:row>232</xdr:row>
                    <xdr:rowOff>142875</xdr:rowOff>
                  </from>
                  <to>
                    <xdr:col>20</xdr:col>
                    <xdr:colOff>866775</xdr:colOff>
                    <xdr:row>236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286" name="Option Button 469">
              <controlPr defaultSize="0" autoFill="0" autoLine="0" autoPict="0">
                <anchor moveWithCells="1">
                  <from>
                    <xdr:col>19</xdr:col>
                    <xdr:colOff>209550</xdr:colOff>
                    <xdr:row>233</xdr:row>
                    <xdr:rowOff>19050</xdr:rowOff>
                  </from>
                  <to>
                    <xdr:col>20</xdr:col>
                    <xdr:colOff>504825</xdr:colOff>
                    <xdr:row>233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287" name="Option Button 470">
              <controlPr defaultSize="0" autoFill="0" autoLine="0" autoPict="0">
                <anchor moveWithCells="1">
                  <from>
                    <xdr:col>19</xdr:col>
                    <xdr:colOff>209550</xdr:colOff>
                    <xdr:row>233</xdr:row>
                    <xdr:rowOff>219075</xdr:rowOff>
                  </from>
                  <to>
                    <xdr:col>20</xdr:col>
                    <xdr:colOff>161925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288" name="Option Button 471">
              <controlPr defaultSize="0" autoFill="0" autoLine="0" autoPict="0">
                <anchor moveWithCells="1">
                  <from>
                    <xdr:col>19</xdr:col>
                    <xdr:colOff>990600</xdr:colOff>
                    <xdr:row>234</xdr:row>
                    <xdr:rowOff>171450</xdr:rowOff>
                  </from>
                  <to>
                    <xdr:col>20</xdr:col>
                    <xdr:colOff>419100</xdr:colOff>
                    <xdr:row>236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289" name="Check Box 472">
              <controlPr defaultSize="0" autoFill="0" autoLine="0" autoPict="0">
                <anchor moveWithCells="1">
                  <from>
                    <xdr:col>34</xdr:col>
                    <xdr:colOff>895350</xdr:colOff>
                    <xdr:row>318</xdr:row>
                    <xdr:rowOff>28575</xdr:rowOff>
                  </from>
                  <to>
                    <xdr:col>35</xdr:col>
                    <xdr:colOff>1171575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290" name="Check Box 473">
              <controlPr defaultSize="0" autoFill="0" autoLine="0" autoPict="0">
                <anchor moveWithCells="1">
                  <from>
                    <xdr:col>34</xdr:col>
                    <xdr:colOff>904875</xdr:colOff>
                    <xdr:row>319</xdr:row>
                    <xdr:rowOff>28575</xdr:rowOff>
                  </from>
                  <to>
                    <xdr:col>35</xdr:col>
                    <xdr:colOff>571500</xdr:colOff>
                    <xdr:row>320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291" name="Option Button 475">
              <controlPr defaultSize="0" autoFill="0" autoLine="0" autoPict="0">
                <anchor moveWithCells="1">
                  <from>
                    <xdr:col>22</xdr:col>
                    <xdr:colOff>561975</xdr:colOff>
                    <xdr:row>45</xdr:row>
                    <xdr:rowOff>285750</xdr:rowOff>
                  </from>
                  <to>
                    <xdr:col>23</xdr:col>
                    <xdr:colOff>476250</xdr:colOff>
                    <xdr:row>46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292" name="Option Button 477">
              <controlPr defaultSize="0" autoFill="0" autoLine="0" autoPict="0">
                <anchor moveWithCells="1">
                  <from>
                    <xdr:col>34</xdr:col>
                    <xdr:colOff>0</xdr:colOff>
                    <xdr:row>63</xdr:row>
                    <xdr:rowOff>152400</xdr:rowOff>
                  </from>
                  <to>
                    <xdr:col>35</xdr:col>
                    <xdr:colOff>219075</xdr:colOff>
                    <xdr:row>64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293" name="Option Button 486">
              <controlPr defaultSize="0" autoFill="0" autoLine="0" autoPict="0">
                <anchor moveWithCells="1">
                  <from>
                    <xdr:col>19</xdr:col>
                    <xdr:colOff>95250</xdr:colOff>
                    <xdr:row>260</xdr:row>
                    <xdr:rowOff>114300</xdr:rowOff>
                  </from>
                  <to>
                    <xdr:col>20</xdr:col>
                    <xdr:colOff>314325</xdr:colOff>
                    <xdr:row>261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294" name="Check Box 487">
              <controlPr defaultSize="0" autoFill="0" autoLine="0" autoPict="0">
                <anchor moveWithCells="1">
                  <from>
                    <xdr:col>22</xdr:col>
                    <xdr:colOff>209550</xdr:colOff>
                    <xdr:row>317</xdr:row>
                    <xdr:rowOff>238125</xdr:rowOff>
                  </from>
                  <to>
                    <xdr:col>23</xdr:col>
                    <xdr:colOff>1066800</xdr:colOff>
                    <xdr:row>318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295" name="Group Box 488">
              <controlPr defaultSize="0" autoFill="0" autoPict="0">
                <anchor moveWithCells="1">
                  <from>
                    <xdr:col>24</xdr:col>
                    <xdr:colOff>209550</xdr:colOff>
                    <xdr:row>319</xdr:row>
                    <xdr:rowOff>47625</xdr:rowOff>
                  </from>
                  <to>
                    <xdr:col>29</xdr:col>
                    <xdr:colOff>0</xdr:colOff>
                    <xdr:row>324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296" name="Option Button 489">
              <controlPr defaultSize="0" autoFill="0" autoLine="0" autoPict="0">
                <anchor moveWithCells="1">
                  <from>
                    <xdr:col>26</xdr:col>
                    <xdr:colOff>66675</xdr:colOff>
                    <xdr:row>320</xdr:row>
                    <xdr:rowOff>66675</xdr:rowOff>
                  </from>
                  <to>
                    <xdr:col>28</xdr:col>
                    <xdr:colOff>285750</xdr:colOff>
                    <xdr:row>321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297" name="Option Button 490">
              <controlPr defaultSize="0" autoFill="0" autoLine="0" autoPict="0">
                <anchor moveWithCells="1">
                  <from>
                    <xdr:col>26</xdr:col>
                    <xdr:colOff>66675</xdr:colOff>
                    <xdr:row>321</xdr:row>
                    <xdr:rowOff>47625</xdr:rowOff>
                  </from>
                  <to>
                    <xdr:col>28</xdr:col>
                    <xdr:colOff>323850</xdr:colOff>
                    <xdr:row>322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298" name="Option Button 491">
              <controlPr defaultSize="0" autoFill="0" autoLine="0" autoPict="0">
                <anchor moveWithCells="1">
                  <from>
                    <xdr:col>27</xdr:col>
                    <xdr:colOff>438150</xdr:colOff>
                    <xdr:row>322</xdr:row>
                    <xdr:rowOff>180975</xdr:rowOff>
                  </from>
                  <to>
                    <xdr:col>28</xdr:col>
                    <xdr:colOff>638175</xdr:colOff>
                    <xdr:row>323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AF77"/>
  <sheetViews>
    <sheetView showGridLines="0" zoomScaleNormal="100" workbookViewId="0">
      <selection activeCell="E8" sqref="E8"/>
    </sheetView>
  </sheetViews>
  <sheetFormatPr defaultColWidth="8.85546875" defaultRowHeight="15" x14ac:dyDescent="0.2"/>
  <cols>
    <col min="1" max="1" width="8.85546875" style="4"/>
    <col min="2" max="2" width="27" style="2" customWidth="1"/>
    <col min="3" max="3" width="30.7109375" style="3" customWidth="1"/>
    <col min="4" max="4" width="27.7109375" style="2" customWidth="1"/>
    <col min="5" max="5" width="31.7109375" style="3" bestFit="1" customWidth="1"/>
    <col min="6" max="8" width="8.85546875" style="4"/>
    <col min="9" max="10" width="18.7109375" style="4" customWidth="1"/>
    <col min="11" max="14" width="8.85546875" style="4"/>
    <col min="15" max="15" width="8.85546875" style="4" customWidth="1"/>
    <col min="16" max="16" width="2" style="290" hidden="1" customWidth="1"/>
    <col min="17" max="17" width="8.85546875" style="4" hidden="1" customWidth="1"/>
    <col min="18" max="18" width="15.42578125" style="4" hidden="1" customWidth="1"/>
    <col min="19" max="19" width="18.85546875" style="4" hidden="1" customWidth="1"/>
    <col min="20" max="20" width="8.85546875" style="4" hidden="1" customWidth="1"/>
    <col min="21" max="21" width="13.140625" style="4" hidden="1" customWidth="1"/>
    <col min="22" max="22" width="18.28515625" style="4" hidden="1" customWidth="1"/>
    <col min="23" max="32" width="8.85546875" style="4" hidden="1" customWidth="1"/>
    <col min="33" max="33" width="0" style="4" hidden="1" customWidth="1"/>
    <col min="34" max="257" width="8.85546875" style="4"/>
    <col min="258" max="258" width="22.42578125" style="4" customWidth="1"/>
    <col min="259" max="259" width="22.7109375" style="4" customWidth="1"/>
    <col min="260" max="260" width="33.42578125" style="4" customWidth="1"/>
    <col min="261" max="261" width="15.28515625" style="4" customWidth="1"/>
    <col min="262" max="513" width="8.85546875" style="4"/>
    <col min="514" max="514" width="22.42578125" style="4" customWidth="1"/>
    <col min="515" max="515" width="22.7109375" style="4" customWidth="1"/>
    <col min="516" max="516" width="33.42578125" style="4" customWidth="1"/>
    <col min="517" max="517" width="15.28515625" style="4" customWidth="1"/>
    <col min="518" max="769" width="8.85546875" style="4"/>
    <col min="770" max="770" width="22.42578125" style="4" customWidth="1"/>
    <col min="771" max="771" width="22.7109375" style="4" customWidth="1"/>
    <col min="772" max="772" width="33.42578125" style="4" customWidth="1"/>
    <col min="773" max="773" width="15.28515625" style="4" customWidth="1"/>
    <col min="774" max="1025" width="8.85546875" style="4"/>
    <col min="1026" max="1026" width="22.42578125" style="4" customWidth="1"/>
    <col min="1027" max="1027" width="22.7109375" style="4" customWidth="1"/>
    <col min="1028" max="1028" width="33.42578125" style="4" customWidth="1"/>
    <col min="1029" max="1029" width="15.28515625" style="4" customWidth="1"/>
    <col min="1030" max="1281" width="8.85546875" style="4"/>
    <col min="1282" max="1282" width="22.42578125" style="4" customWidth="1"/>
    <col min="1283" max="1283" width="22.7109375" style="4" customWidth="1"/>
    <col min="1284" max="1284" width="33.42578125" style="4" customWidth="1"/>
    <col min="1285" max="1285" width="15.28515625" style="4" customWidth="1"/>
    <col min="1286" max="1537" width="8.85546875" style="4"/>
    <col min="1538" max="1538" width="22.42578125" style="4" customWidth="1"/>
    <col min="1539" max="1539" width="22.7109375" style="4" customWidth="1"/>
    <col min="1540" max="1540" width="33.42578125" style="4" customWidth="1"/>
    <col min="1541" max="1541" width="15.28515625" style="4" customWidth="1"/>
    <col min="1542" max="1793" width="8.85546875" style="4"/>
    <col min="1794" max="1794" width="22.42578125" style="4" customWidth="1"/>
    <col min="1795" max="1795" width="22.7109375" style="4" customWidth="1"/>
    <col min="1796" max="1796" width="33.42578125" style="4" customWidth="1"/>
    <col min="1797" max="1797" width="15.28515625" style="4" customWidth="1"/>
    <col min="1798" max="2049" width="8.85546875" style="4"/>
    <col min="2050" max="2050" width="22.42578125" style="4" customWidth="1"/>
    <col min="2051" max="2051" width="22.7109375" style="4" customWidth="1"/>
    <col min="2052" max="2052" width="33.42578125" style="4" customWidth="1"/>
    <col min="2053" max="2053" width="15.28515625" style="4" customWidth="1"/>
    <col min="2054" max="2305" width="8.85546875" style="4"/>
    <col min="2306" max="2306" width="22.42578125" style="4" customWidth="1"/>
    <col min="2307" max="2307" width="22.7109375" style="4" customWidth="1"/>
    <col min="2308" max="2308" width="33.42578125" style="4" customWidth="1"/>
    <col min="2309" max="2309" width="15.28515625" style="4" customWidth="1"/>
    <col min="2310" max="2561" width="8.85546875" style="4"/>
    <col min="2562" max="2562" width="22.42578125" style="4" customWidth="1"/>
    <col min="2563" max="2563" width="22.7109375" style="4" customWidth="1"/>
    <col min="2564" max="2564" width="33.42578125" style="4" customWidth="1"/>
    <col min="2565" max="2565" width="15.28515625" style="4" customWidth="1"/>
    <col min="2566" max="2817" width="8.85546875" style="4"/>
    <col min="2818" max="2818" width="22.42578125" style="4" customWidth="1"/>
    <col min="2819" max="2819" width="22.7109375" style="4" customWidth="1"/>
    <col min="2820" max="2820" width="33.42578125" style="4" customWidth="1"/>
    <col min="2821" max="2821" width="15.28515625" style="4" customWidth="1"/>
    <col min="2822" max="3073" width="8.85546875" style="4"/>
    <col min="3074" max="3074" width="22.42578125" style="4" customWidth="1"/>
    <col min="3075" max="3075" width="22.7109375" style="4" customWidth="1"/>
    <col min="3076" max="3076" width="33.42578125" style="4" customWidth="1"/>
    <col min="3077" max="3077" width="15.28515625" style="4" customWidth="1"/>
    <col min="3078" max="3329" width="8.85546875" style="4"/>
    <col min="3330" max="3330" width="22.42578125" style="4" customWidth="1"/>
    <col min="3331" max="3331" width="22.7109375" style="4" customWidth="1"/>
    <col min="3332" max="3332" width="33.42578125" style="4" customWidth="1"/>
    <col min="3333" max="3333" width="15.28515625" style="4" customWidth="1"/>
    <col min="3334" max="3585" width="8.85546875" style="4"/>
    <col min="3586" max="3586" width="22.42578125" style="4" customWidth="1"/>
    <col min="3587" max="3587" width="22.7109375" style="4" customWidth="1"/>
    <col min="3588" max="3588" width="33.42578125" style="4" customWidth="1"/>
    <col min="3589" max="3589" width="15.28515625" style="4" customWidth="1"/>
    <col min="3590" max="3841" width="8.85546875" style="4"/>
    <col min="3842" max="3842" width="22.42578125" style="4" customWidth="1"/>
    <col min="3843" max="3843" width="22.7109375" style="4" customWidth="1"/>
    <col min="3844" max="3844" width="33.42578125" style="4" customWidth="1"/>
    <col min="3845" max="3845" width="15.28515625" style="4" customWidth="1"/>
    <col min="3846" max="4097" width="8.85546875" style="4"/>
    <col min="4098" max="4098" width="22.42578125" style="4" customWidth="1"/>
    <col min="4099" max="4099" width="22.7109375" style="4" customWidth="1"/>
    <col min="4100" max="4100" width="33.42578125" style="4" customWidth="1"/>
    <col min="4101" max="4101" width="15.28515625" style="4" customWidth="1"/>
    <col min="4102" max="4353" width="8.85546875" style="4"/>
    <col min="4354" max="4354" width="22.42578125" style="4" customWidth="1"/>
    <col min="4355" max="4355" width="22.7109375" style="4" customWidth="1"/>
    <col min="4356" max="4356" width="33.42578125" style="4" customWidth="1"/>
    <col min="4357" max="4357" width="15.28515625" style="4" customWidth="1"/>
    <col min="4358" max="4609" width="8.85546875" style="4"/>
    <col min="4610" max="4610" width="22.42578125" style="4" customWidth="1"/>
    <col min="4611" max="4611" width="22.7109375" style="4" customWidth="1"/>
    <col min="4612" max="4612" width="33.42578125" style="4" customWidth="1"/>
    <col min="4613" max="4613" width="15.28515625" style="4" customWidth="1"/>
    <col min="4614" max="4865" width="8.85546875" style="4"/>
    <col min="4866" max="4866" width="22.42578125" style="4" customWidth="1"/>
    <col min="4867" max="4867" width="22.7109375" style="4" customWidth="1"/>
    <col min="4868" max="4868" width="33.42578125" style="4" customWidth="1"/>
    <col min="4869" max="4869" width="15.28515625" style="4" customWidth="1"/>
    <col min="4870" max="5121" width="8.85546875" style="4"/>
    <col min="5122" max="5122" width="22.42578125" style="4" customWidth="1"/>
    <col min="5123" max="5123" width="22.7109375" style="4" customWidth="1"/>
    <col min="5124" max="5124" width="33.42578125" style="4" customWidth="1"/>
    <col min="5125" max="5125" width="15.28515625" style="4" customWidth="1"/>
    <col min="5126" max="5377" width="8.85546875" style="4"/>
    <col min="5378" max="5378" width="22.42578125" style="4" customWidth="1"/>
    <col min="5379" max="5379" width="22.7109375" style="4" customWidth="1"/>
    <col min="5380" max="5380" width="33.42578125" style="4" customWidth="1"/>
    <col min="5381" max="5381" width="15.28515625" style="4" customWidth="1"/>
    <col min="5382" max="5633" width="8.85546875" style="4"/>
    <col min="5634" max="5634" width="22.42578125" style="4" customWidth="1"/>
    <col min="5635" max="5635" width="22.7109375" style="4" customWidth="1"/>
    <col min="5636" max="5636" width="33.42578125" style="4" customWidth="1"/>
    <col min="5637" max="5637" width="15.28515625" style="4" customWidth="1"/>
    <col min="5638" max="5889" width="8.85546875" style="4"/>
    <col min="5890" max="5890" width="22.42578125" style="4" customWidth="1"/>
    <col min="5891" max="5891" width="22.7109375" style="4" customWidth="1"/>
    <col min="5892" max="5892" width="33.42578125" style="4" customWidth="1"/>
    <col min="5893" max="5893" width="15.28515625" style="4" customWidth="1"/>
    <col min="5894" max="6145" width="8.85546875" style="4"/>
    <col min="6146" max="6146" width="22.42578125" style="4" customWidth="1"/>
    <col min="6147" max="6147" width="22.7109375" style="4" customWidth="1"/>
    <col min="6148" max="6148" width="33.42578125" style="4" customWidth="1"/>
    <col min="6149" max="6149" width="15.28515625" style="4" customWidth="1"/>
    <col min="6150" max="6401" width="8.85546875" style="4"/>
    <col min="6402" max="6402" width="22.42578125" style="4" customWidth="1"/>
    <col min="6403" max="6403" width="22.7109375" style="4" customWidth="1"/>
    <col min="6404" max="6404" width="33.42578125" style="4" customWidth="1"/>
    <col min="6405" max="6405" width="15.28515625" style="4" customWidth="1"/>
    <col min="6406" max="6657" width="8.85546875" style="4"/>
    <col min="6658" max="6658" width="22.42578125" style="4" customWidth="1"/>
    <col min="6659" max="6659" width="22.7109375" style="4" customWidth="1"/>
    <col min="6660" max="6660" width="33.42578125" style="4" customWidth="1"/>
    <col min="6661" max="6661" width="15.28515625" style="4" customWidth="1"/>
    <col min="6662" max="6913" width="8.85546875" style="4"/>
    <col min="6914" max="6914" width="22.42578125" style="4" customWidth="1"/>
    <col min="6915" max="6915" width="22.7109375" style="4" customWidth="1"/>
    <col min="6916" max="6916" width="33.42578125" style="4" customWidth="1"/>
    <col min="6917" max="6917" width="15.28515625" style="4" customWidth="1"/>
    <col min="6918" max="7169" width="8.85546875" style="4"/>
    <col min="7170" max="7170" width="22.42578125" style="4" customWidth="1"/>
    <col min="7171" max="7171" width="22.7109375" style="4" customWidth="1"/>
    <col min="7172" max="7172" width="33.42578125" style="4" customWidth="1"/>
    <col min="7173" max="7173" width="15.28515625" style="4" customWidth="1"/>
    <col min="7174" max="7425" width="8.85546875" style="4"/>
    <col min="7426" max="7426" width="22.42578125" style="4" customWidth="1"/>
    <col min="7427" max="7427" width="22.7109375" style="4" customWidth="1"/>
    <col min="7428" max="7428" width="33.42578125" style="4" customWidth="1"/>
    <col min="7429" max="7429" width="15.28515625" style="4" customWidth="1"/>
    <col min="7430" max="7681" width="8.85546875" style="4"/>
    <col min="7682" max="7682" width="22.42578125" style="4" customWidth="1"/>
    <col min="7683" max="7683" width="22.7109375" style="4" customWidth="1"/>
    <col min="7684" max="7684" width="33.42578125" style="4" customWidth="1"/>
    <col min="7685" max="7685" width="15.28515625" style="4" customWidth="1"/>
    <col min="7686" max="7937" width="8.85546875" style="4"/>
    <col min="7938" max="7938" width="22.42578125" style="4" customWidth="1"/>
    <col min="7939" max="7939" width="22.7109375" style="4" customWidth="1"/>
    <col min="7940" max="7940" width="33.42578125" style="4" customWidth="1"/>
    <col min="7941" max="7941" width="15.28515625" style="4" customWidth="1"/>
    <col min="7942" max="8193" width="8.85546875" style="4"/>
    <col min="8194" max="8194" width="22.42578125" style="4" customWidth="1"/>
    <col min="8195" max="8195" width="22.7109375" style="4" customWidth="1"/>
    <col min="8196" max="8196" width="33.42578125" style="4" customWidth="1"/>
    <col min="8197" max="8197" width="15.28515625" style="4" customWidth="1"/>
    <col min="8198" max="8449" width="8.85546875" style="4"/>
    <col min="8450" max="8450" width="22.42578125" style="4" customWidth="1"/>
    <col min="8451" max="8451" width="22.7109375" style="4" customWidth="1"/>
    <col min="8452" max="8452" width="33.42578125" style="4" customWidth="1"/>
    <col min="8453" max="8453" width="15.28515625" style="4" customWidth="1"/>
    <col min="8454" max="8705" width="8.85546875" style="4"/>
    <col min="8706" max="8706" width="22.42578125" style="4" customWidth="1"/>
    <col min="8707" max="8707" width="22.7109375" style="4" customWidth="1"/>
    <col min="8708" max="8708" width="33.42578125" style="4" customWidth="1"/>
    <col min="8709" max="8709" width="15.28515625" style="4" customWidth="1"/>
    <col min="8710" max="8961" width="8.85546875" style="4"/>
    <col min="8962" max="8962" width="22.42578125" style="4" customWidth="1"/>
    <col min="8963" max="8963" width="22.7109375" style="4" customWidth="1"/>
    <col min="8964" max="8964" width="33.42578125" style="4" customWidth="1"/>
    <col min="8965" max="8965" width="15.28515625" style="4" customWidth="1"/>
    <col min="8966" max="9217" width="8.85546875" style="4"/>
    <col min="9218" max="9218" width="22.42578125" style="4" customWidth="1"/>
    <col min="9219" max="9219" width="22.7109375" style="4" customWidth="1"/>
    <col min="9220" max="9220" width="33.42578125" style="4" customWidth="1"/>
    <col min="9221" max="9221" width="15.28515625" style="4" customWidth="1"/>
    <col min="9222" max="9473" width="8.85546875" style="4"/>
    <col min="9474" max="9474" width="22.42578125" style="4" customWidth="1"/>
    <col min="9475" max="9475" width="22.7109375" style="4" customWidth="1"/>
    <col min="9476" max="9476" width="33.42578125" style="4" customWidth="1"/>
    <col min="9477" max="9477" width="15.28515625" style="4" customWidth="1"/>
    <col min="9478" max="9729" width="8.85546875" style="4"/>
    <col min="9730" max="9730" width="22.42578125" style="4" customWidth="1"/>
    <col min="9731" max="9731" width="22.7109375" style="4" customWidth="1"/>
    <col min="9732" max="9732" width="33.42578125" style="4" customWidth="1"/>
    <col min="9733" max="9733" width="15.28515625" style="4" customWidth="1"/>
    <col min="9734" max="9985" width="8.85546875" style="4"/>
    <col min="9986" max="9986" width="22.42578125" style="4" customWidth="1"/>
    <col min="9987" max="9987" width="22.7109375" style="4" customWidth="1"/>
    <col min="9988" max="9988" width="33.42578125" style="4" customWidth="1"/>
    <col min="9989" max="9989" width="15.28515625" style="4" customWidth="1"/>
    <col min="9990" max="10241" width="8.85546875" style="4"/>
    <col min="10242" max="10242" width="22.42578125" style="4" customWidth="1"/>
    <col min="10243" max="10243" width="22.7109375" style="4" customWidth="1"/>
    <col min="10244" max="10244" width="33.42578125" style="4" customWidth="1"/>
    <col min="10245" max="10245" width="15.28515625" style="4" customWidth="1"/>
    <col min="10246" max="10497" width="8.85546875" style="4"/>
    <col min="10498" max="10498" width="22.42578125" style="4" customWidth="1"/>
    <col min="10499" max="10499" width="22.7109375" style="4" customWidth="1"/>
    <col min="10500" max="10500" width="33.42578125" style="4" customWidth="1"/>
    <col min="10501" max="10501" width="15.28515625" style="4" customWidth="1"/>
    <col min="10502" max="10753" width="8.85546875" style="4"/>
    <col min="10754" max="10754" width="22.42578125" style="4" customWidth="1"/>
    <col min="10755" max="10755" width="22.7109375" style="4" customWidth="1"/>
    <col min="10756" max="10756" width="33.42578125" style="4" customWidth="1"/>
    <col min="10757" max="10757" width="15.28515625" style="4" customWidth="1"/>
    <col min="10758" max="11009" width="8.85546875" style="4"/>
    <col min="11010" max="11010" width="22.42578125" style="4" customWidth="1"/>
    <col min="11011" max="11011" width="22.7109375" style="4" customWidth="1"/>
    <col min="11012" max="11012" width="33.42578125" style="4" customWidth="1"/>
    <col min="11013" max="11013" width="15.28515625" style="4" customWidth="1"/>
    <col min="11014" max="11265" width="8.85546875" style="4"/>
    <col min="11266" max="11266" width="22.42578125" style="4" customWidth="1"/>
    <col min="11267" max="11267" width="22.7109375" style="4" customWidth="1"/>
    <col min="11268" max="11268" width="33.42578125" style="4" customWidth="1"/>
    <col min="11269" max="11269" width="15.28515625" style="4" customWidth="1"/>
    <col min="11270" max="11521" width="8.85546875" style="4"/>
    <col min="11522" max="11522" width="22.42578125" style="4" customWidth="1"/>
    <col min="11523" max="11523" width="22.7109375" style="4" customWidth="1"/>
    <col min="11524" max="11524" width="33.42578125" style="4" customWidth="1"/>
    <col min="11525" max="11525" width="15.28515625" style="4" customWidth="1"/>
    <col min="11526" max="11777" width="8.85546875" style="4"/>
    <col min="11778" max="11778" width="22.42578125" style="4" customWidth="1"/>
    <col min="11779" max="11779" width="22.7109375" style="4" customWidth="1"/>
    <col min="11780" max="11780" width="33.42578125" style="4" customWidth="1"/>
    <col min="11781" max="11781" width="15.28515625" style="4" customWidth="1"/>
    <col min="11782" max="12033" width="8.85546875" style="4"/>
    <col min="12034" max="12034" width="22.42578125" style="4" customWidth="1"/>
    <col min="12035" max="12035" width="22.7109375" style="4" customWidth="1"/>
    <col min="12036" max="12036" width="33.42578125" style="4" customWidth="1"/>
    <col min="12037" max="12037" width="15.28515625" style="4" customWidth="1"/>
    <col min="12038" max="12289" width="8.85546875" style="4"/>
    <col min="12290" max="12290" width="22.42578125" style="4" customWidth="1"/>
    <col min="12291" max="12291" width="22.7109375" style="4" customWidth="1"/>
    <col min="12292" max="12292" width="33.42578125" style="4" customWidth="1"/>
    <col min="12293" max="12293" width="15.28515625" style="4" customWidth="1"/>
    <col min="12294" max="12545" width="8.85546875" style="4"/>
    <col min="12546" max="12546" width="22.42578125" style="4" customWidth="1"/>
    <col min="12547" max="12547" width="22.7109375" style="4" customWidth="1"/>
    <col min="12548" max="12548" width="33.42578125" style="4" customWidth="1"/>
    <col min="12549" max="12549" width="15.28515625" style="4" customWidth="1"/>
    <col min="12550" max="12801" width="8.85546875" style="4"/>
    <col min="12802" max="12802" width="22.42578125" style="4" customWidth="1"/>
    <col min="12803" max="12803" width="22.7109375" style="4" customWidth="1"/>
    <col min="12804" max="12804" width="33.42578125" style="4" customWidth="1"/>
    <col min="12805" max="12805" width="15.28515625" style="4" customWidth="1"/>
    <col min="12806" max="13057" width="8.85546875" style="4"/>
    <col min="13058" max="13058" width="22.42578125" style="4" customWidth="1"/>
    <col min="13059" max="13059" width="22.7109375" style="4" customWidth="1"/>
    <col min="13060" max="13060" width="33.42578125" style="4" customWidth="1"/>
    <col min="13061" max="13061" width="15.28515625" style="4" customWidth="1"/>
    <col min="13062" max="13313" width="8.85546875" style="4"/>
    <col min="13314" max="13314" width="22.42578125" style="4" customWidth="1"/>
    <col min="13315" max="13315" width="22.7109375" style="4" customWidth="1"/>
    <col min="13316" max="13316" width="33.42578125" style="4" customWidth="1"/>
    <col min="13317" max="13317" width="15.28515625" style="4" customWidth="1"/>
    <col min="13318" max="13569" width="8.85546875" style="4"/>
    <col min="13570" max="13570" width="22.42578125" style="4" customWidth="1"/>
    <col min="13571" max="13571" width="22.7109375" style="4" customWidth="1"/>
    <col min="13572" max="13572" width="33.42578125" style="4" customWidth="1"/>
    <col min="13573" max="13573" width="15.28515625" style="4" customWidth="1"/>
    <col min="13574" max="13825" width="8.85546875" style="4"/>
    <col min="13826" max="13826" width="22.42578125" style="4" customWidth="1"/>
    <col min="13827" max="13827" width="22.7109375" style="4" customWidth="1"/>
    <col min="13828" max="13828" width="33.42578125" style="4" customWidth="1"/>
    <col min="13829" max="13829" width="15.28515625" style="4" customWidth="1"/>
    <col min="13830" max="14081" width="8.85546875" style="4"/>
    <col min="14082" max="14082" width="22.42578125" style="4" customWidth="1"/>
    <col min="14083" max="14083" width="22.7109375" style="4" customWidth="1"/>
    <col min="14084" max="14084" width="33.42578125" style="4" customWidth="1"/>
    <col min="14085" max="14085" width="15.28515625" style="4" customWidth="1"/>
    <col min="14086" max="14337" width="8.85546875" style="4"/>
    <col min="14338" max="14338" width="22.42578125" style="4" customWidth="1"/>
    <col min="14339" max="14339" width="22.7109375" style="4" customWidth="1"/>
    <col min="14340" max="14340" width="33.42578125" style="4" customWidth="1"/>
    <col min="14341" max="14341" width="15.28515625" style="4" customWidth="1"/>
    <col min="14342" max="14593" width="8.85546875" style="4"/>
    <col min="14594" max="14594" width="22.42578125" style="4" customWidth="1"/>
    <col min="14595" max="14595" width="22.7109375" style="4" customWidth="1"/>
    <col min="14596" max="14596" width="33.42578125" style="4" customWidth="1"/>
    <col min="14597" max="14597" width="15.28515625" style="4" customWidth="1"/>
    <col min="14598" max="14849" width="8.85546875" style="4"/>
    <col min="14850" max="14850" width="22.42578125" style="4" customWidth="1"/>
    <col min="14851" max="14851" width="22.7109375" style="4" customWidth="1"/>
    <col min="14852" max="14852" width="33.42578125" style="4" customWidth="1"/>
    <col min="14853" max="14853" width="15.28515625" style="4" customWidth="1"/>
    <col min="14854" max="15105" width="8.85546875" style="4"/>
    <col min="15106" max="15106" width="22.42578125" style="4" customWidth="1"/>
    <col min="15107" max="15107" width="22.7109375" style="4" customWidth="1"/>
    <col min="15108" max="15108" width="33.42578125" style="4" customWidth="1"/>
    <col min="15109" max="15109" width="15.28515625" style="4" customWidth="1"/>
    <col min="15110" max="15361" width="8.85546875" style="4"/>
    <col min="15362" max="15362" width="22.42578125" style="4" customWidth="1"/>
    <col min="15363" max="15363" width="22.7109375" style="4" customWidth="1"/>
    <col min="15364" max="15364" width="33.42578125" style="4" customWidth="1"/>
    <col min="15365" max="15365" width="15.28515625" style="4" customWidth="1"/>
    <col min="15366" max="15617" width="8.85546875" style="4"/>
    <col min="15618" max="15618" width="22.42578125" style="4" customWidth="1"/>
    <col min="15619" max="15619" width="22.7109375" style="4" customWidth="1"/>
    <col min="15620" max="15620" width="33.42578125" style="4" customWidth="1"/>
    <col min="15621" max="15621" width="15.28515625" style="4" customWidth="1"/>
    <col min="15622" max="15873" width="8.85546875" style="4"/>
    <col min="15874" max="15874" width="22.42578125" style="4" customWidth="1"/>
    <col min="15875" max="15875" width="22.7109375" style="4" customWidth="1"/>
    <col min="15876" max="15876" width="33.42578125" style="4" customWidth="1"/>
    <col min="15877" max="15877" width="15.28515625" style="4" customWidth="1"/>
    <col min="15878" max="16129" width="8.85546875" style="4"/>
    <col min="16130" max="16130" width="22.42578125" style="4" customWidth="1"/>
    <col min="16131" max="16131" width="22.7109375" style="4" customWidth="1"/>
    <col min="16132" max="16132" width="33.42578125" style="4" customWidth="1"/>
    <col min="16133" max="16133" width="15.28515625" style="4" customWidth="1"/>
    <col min="16134" max="16384" width="8.85546875" style="4"/>
  </cols>
  <sheetData>
    <row r="1" spans="2:29" x14ac:dyDescent="0.2">
      <c r="Z1" s="4" t="s">
        <v>379</v>
      </c>
    </row>
    <row r="2" spans="2:29" ht="15.75" thickBot="1" x14ac:dyDescent="0.25">
      <c r="Y2" s="4">
        <v>1</v>
      </c>
      <c r="Z2" s="4" t="s">
        <v>380</v>
      </c>
      <c r="AB2" s="296">
        <v>1</v>
      </c>
      <c r="AC2" s="296">
        <v>0</v>
      </c>
    </row>
    <row r="3" spans="2:29" ht="15" customHeight="1" x14ac:dyDescent="0.2">
      <c r="B3" s="5"/>
      <c r="C3" s="542" t="s">
        <v>42</v>
      </c>
      <c r="D3" s="543"/>
      <c r="E3" s="544"/>
      <c r="F3" s="6"/>
      <c r="Y3" s="4">
        <v>2</v>
      </c>
      <c r="Z3" s="4" t="s">
        <v>381</v>
      </c>
      <c r="AB3" s="296">
        <v>2</v>
      </c>
      <c r="AC3" s="296">
        <v>0</v>
      </c>
    </row>
    <row r="4" spans="2:29" ht="11.1" customHeight="1" x14ac:dyDescent="0.2">
      <c r="B4" s="5"/>
      <c r="C4" s="545"/>
      <c r="D4" s="546"/>
      <c r="E4" s="547"/>
      <c r="F4" s="6"/>
      <c r="Y4" s="4">
        <v>3</v>
      </c>
      <c r="Z4" s="4" t="s">
        <v>382</v>
      </c>
      <c r="AB4" s="296">
        <v>3</v>
      </c>
      <c r="AC4" s="296">
        <v>0</v>
      </c>
    </row>
    <row r="5" spans="2:29" ht="11.1" customHeight="1" x14ac:dyDescent="0.2">
      <c r="B5" s="5"/>
      <c r="C5" s="545"/>
      <c r="D5" s="546"/>
      <c r="E5" s="547"/>
      <c r="F5" s="6"/>
      <c r="Y5" s="4">
        <v>4</v>
      </c>
      <c r="Z5" s="4" t="s">
        <v>383</v>
      </c>
      <c r="AB5" s="296">
        <v>4</v>
      </c>
      <c r="AC5" s="296">
        <v>0</v>
      </c>
    </row>
    <row r="6" spans="2:29" ht="9.75" customHeight="1" thickBot="1" x14ac:dyDescent="0.25">
      <c r="B6" s="5"/>
      <c r="C6" s="548"/>
      <c r="D6" s="549"/>
      <c r="E6" s="550"/>
      <c r="F6" s="6"/>
      <c r="Y6" s="4">
        <v>5</v>
      </c>
      <c r="Z6" s="4" t="s">
        <v>384</v>
      </c>
      <c r="AB6" s="296">
        <v>5</v>
      </c>
      <c r="AC6" s="296">
        <v>0</v>
      </c>
    </row>
    <row r="7" spans="2:29" ht="9.75" customHeight="1" x14ac:dyDescent="0.2">
      <c r="B7" s="5"/>
      <c r="C7" s="7"/>
      <c r="D7" s="5"/>
      <c r="E7" s="7"/>
      <c r="R7" s="290"/>
      <c r="Y7" s="4">
        <v>6</v>
      </c>
      <c r="Z7" s="4" t="s">
        <v>385</v>
      </c>
      <c r="AB7" s="296">
        <v>6</v>
      </c>
      <c r="AC7" s="296">
        <v>2</v>
      </c>
    </row>
    <row r="8" spans="2:29" ht="17.100000000000001" customHeight="1" x14ac:dyDescent="0.25">
      <c r="B8" s="8" t="str">
        <f>CONCATENATE("Pedido Expansão:     ",S8)</f>
        <v>Pedido Expansão:     NÚMERO PEDIDO EXPANSÃO</v>
      </c>
      <c r="C8" s="8" t="str">
        <f>CONCATENATE("TO/FISIO:         ",V8)</f>
        <v>TO/FISIO:         FISIO / T.O. EXPANSÃO</v>
      </c>
      <c r="D8" s="291" t="s">
        <v>47</v>
      </c>
      <c r="E8" s="293" t="str">
        <f>'DEFINA O TAMANHO DA CADEIRA'!F17</f>
        <v>REVENDA</v>
      </c>
      <c r="F8" s="9"/>
      <c r="I8" s="9"/>
      <c r="M8" s="9"/>
      <c r="R8" s="8" t="s">
        <v>43</v>
      </c>
      <c r="S8" s="110" t="str">
        <f>'DEFINA O TAMANHO DA CADEIRA'!$M$6</f>
        <v>NÚMERO PEDIDO EXPANSÃO</v>
      </c>
      <c r="U8" s="8" t="s">
        <v>44</v>
      </c>
      <c r="V8" s="73" t="str">
        <f>'DEFINA O TAMANHO DA CADEIRA'!M17</f>
        <v>FISIO / T.O. EXPANSÃO</v>
      </c>
      <c r="Y8" s="4">
        <v>7</v>
      </c>
      <c r="Z8" s="4" t="s">
        <v>386</v>
      </c>
      <c r="AB8" s="296">
        <v>7</v>
      </c>
      <c r="AC8" s="296">
        <v>1</v>
      </c>
    </row>
    <row r="9" spans="2:29" ht="17.100000000000001" customHeight="1" x14ac:dyDescent="0.25">
      <c r="B9" s="8" t="e">
        <f>CONCATENATE("DATA:     ",S11,"/",S12,"/",S15)</f>
        <v>#VALUE!</v>
      </c>
      <c r="C9" s="8" t="str">
        <f>CONCATENATE("VENDEDOR:     ",V9)</f>
        <v>VENDEDOR:     CONTATO EXPANSÃO</v>
      </c>
      <c r="D9" s="291" t="s">
        <v>48</v>
      </c>
      <c r="E9" s="293" t="str">
        <f>'DEFINA O TAMANHO DA CADEIRA'!F12</f>
        <v>NOME</v>
      </c>
      <c r="F9" s="9"/>
      <c r="I9" s="9"/>
      <c r="R9" s="8" t="s">
        <v>45</v>
      </c>
      <c r="S9" s="72" t="str">
        <f>'DEFINA O TAMANHO DA CADEIRA'!T12</f>
        <v>DATA</v>
      </c>
      <c r="U9" s="8" t="s">
        <v>46</v>
      </c>
      <c r="V9" s="73" t="str">
        <f>'DEFINA O TAMANHO DA CADEIRA'!M12</f>
        <v>CONTATO EXPANSÃO</v>
      </c>
    </row>
    <row r="10" spans="2:29" ht="9.75" customHeight="1" x14ac:dyDescent="0.25">
      <c r="C10" s="4"/>
      <c r="D10"/>
      <c r="F10" s="9"/>
      <c r="G10" s="9"/>
      <c r="H10" s="9"/>
      <c r="I10" s="9"/>
    </row>
    <row r="11" spans="2:29" ht="21.75" customHeight="1" x14ac:dyDescent="0.25">
      <c r="B11" s="301" t="s">
        <v>402</v>
      </c>
      <c r="C11" s="553" t="s">
        <v>359</v>
      </c>
      <c r="D11" s="303" t="str">
        <f>'MONTE AQUI SUA CADEIRA DE RODAS'!BX12</f>
        <v>SEM ESCOLHA</v>
      </c>
      <c r="E11" s="300" t="s">
        <v>403</v>
      </c>
      <c r="F11" s="9"/>
      <c r="G11" s="9"/>
      <c r="H11" s="9"/>
      <c r="R11" s="294" t="s">
        <v>342</v>
      </c>
      <c r="S11" s="294" t="e">
        <f>DAY(S9)</f>
        <v>#VALUE!</v>
      </c>
    </row>
    <row r="12" spans="2:29" ht="17.100000000000001" customHeight="1" x14ac:dyDescent="0.25">
      <c r="B12" s="302" t="str">
        <f>R27</f>
        <v/>
      </c>
      <c r="C12" s="554"/>
      <c r="D12" s="304" t="str">
        <f>'MONTE AQUI SUA CADEIRA DE RODAS'!BX14</f>
        <v>MODELO  SEM ESCOLHA</v>
      </c>
      <c r="E12" s="299" t="s">
        <v>345</v>
      </c>
      <c r="F12" s="9"/>
      <c r="G12" s="9"/>
      <c r="H12" s="9"/>
      <c r="R12" s="294" t="s">
        <v>343</v>
      </c>
      <c r="S12" s="294" t="e">
        <f>MONTH(S9)</f>
        <v>#VALUE!</v>
      </c>
    </row>
    <row r="13" spans="2:29" ht="9.75" customHeight="1" x14ac:dyDescent="0.25">
      <c r="D13"/>
      <c r="F13" s="9"/>
      <c r="G13" s="9"/>
      <c r="H13" s="9"/>
      <c r="I13" s="9"/>
      <c r="R13" s="294"/>
      <c r="S13" s="294"/>
    </row>
    <row r="14" spans="2:29" ht="5.0999999999999996" customHeight="1" x14ac:dyDescent="0.25">
      <c r="B14" s="10"/>
      <c r="C14" s="11"/>
      <c r="D14" s="10"/>
      <c r="E14" s="11"/>
      <c r="R14" s="294"/>
      <c r="S14" s="294"/>
    </row>
    <row r="15" spans="2:29" ht="17.100000000000001" customHeight="1" x14ac:dyDescent="0.2">
      <c r="B15" s="12" t="s">
        <v>131</v>
      </c>
      <c r="C15" s="13" t="str">
        <f>'MONTE AQUI SUA CADEIRA DE RODAS'!BK100</f>
        <v>SEM ESCOLHA</v>
      </c>
      <c r="D15" s="524" t="str">
        <f>'MONTE AQUI SUA CADEIRA DE RODAS'!CH112</f>
        <v/>
      </c>
      <c r="E15" s="526"/>
      <c r="R15" s="294" t="s">
        <v>344</v>
      </c>
      <c r="S15" s="294" t="e">
        <f>YEAR(S9)</f>
        <v>#VALUE!</v>
      </c>
    </row>
    <row r="16" spans="2:29" ht="5.0999999999999996" customHeight="1" x14ac:dyDescent="0.25">
      <c r="B16" s="10"/>
      <c r="C16" s="11"/>
      <c r="D16" s="10"/>
      <c r="E16" s="11"/>
    </row>
    <row r="17" spans="2:25" ht="17.100000000000001" customHeight="1" x14ac:dyDescent="0.2">
      <c r="B17" s="14" t="s">
        <v>49</v>
      </c>
      <c r="C17" s="13" t="str">
        <f>'MONTE AQUI SUA CADEIRA DE RODAS'!CJ46</f>
        <v>SEM ESCOLHA</v>
      </c>
      <c r="D17" s="14" t="s">
        <v>50</v>
      </c>
      <c r="E17" s="13" t="str">
        <f>'MONTE AQUI SUA CADEIRA DE RODAS'!CH44</f>
        <v>FALTA TAMANHO</v>
      </c>
    </row>
    <row r="18" spans="2:25" ht="17.100000000000001" customHeight="1" x14ac:dyDescent="0.25">
      <c r="B18" s="551" t="str">
        <f>'MONTE AQUI SUA CADEIRA DE RODAS'!BX40</f>
        <v/>
      </c>
      <c r="C18" s="552"/>
      <c r="D18" s="524" t="str">
        <f>'MONTE AQUI SUA CADEIRA DE RODAS'!CH54</f>
        <v/>
      </c>
      <c r="E18" s="526"/>
      <c r="F18" s="9"/>
      <c r="G18" s="9"/>
    </row>
    <row r="19" spans="2:25" ht="5.0999999999999996" customHeight="1" x14ac:dyDescent="0.2">
      <c r="B19" s="15"/>
      <c r="C19" s="16"/>
      <c r="D19" s="15"/>
      <c r="E19" s="17"/>
    </row>
    <row r="20" spans="2:25" ht="17.100000000000001" customHeight="1" x14ac:dyDescent="0.25">
      <c r="B20" s="14" t="s">
        <v>52</v>
      </c>
      <c r="C20" s="13" t="str">
        <f>'MONTE AQUI SUA CADEIRA DE RODAS'!$BG$58</f>
        <v>SEM ESCOLHA</v>
      </c>
      <c r="D20" s="14" t="s">
        <v>50</v>
      </c>
      <c r="E20" s="13" t="str">
        <f>IF(C20="SEM ESCOLHA","",'MONTE AQUI SUA CADEIRA DE RODAS'!CH65)</f>
        <v/>
      </c>
      <c r="F20" s="9"/>
      <c r="G20" s="9"/>
      <c r="H20" s="9"/>
      <c r="I20" s="9"/>
    </row>
    <row r="21" spans="2:25" ht="17.100000000000001" customHeight="1" x14ac:dyDescent="0.25">
      <c r="B21" s="524" t="str">
        <f>'MONTE AQUI SUA CADEIRA DE RODAS'!BX61</f>
        <v/>
      </c>
      <c r="C21" s="525"/>
      <c r="D21" s="524" t="str">
        <f>'MONTE AQUI SUA CADEIRA DE RODAS'!BX64</f>
        <v/>
      </c>
      <c r="E21" s="526"/>
      <c r="F21" s="9"/>
      <c r="G21" s="9"/>
      <c r="H21" s="9"/>
      <c r="I21" s="9"/>
    </row>
    <row r="22" spans="2:25" ht="17.100000000000001" customHeight="1" x14ac:dyDescent="0.25">
      <c r="B22" s="527" t="str">
        <f>'MONTE AQUI SUA CADEIRA DE RODAS'!CH70</f>
        <v/>
      </c>
      <c r="C22" s="528"/>
      <c r="D22" s="531" t="str">
        <f>'MONTE AQUI SUA CADEIRA DE RODAS'!CJ70</f>
        <v/>
      </c>
      <c r="E22" s="532"/>
      <c r="F22" s="9"/>
      <c r="G22" s="9"/>
      <c r="H22" s="9"/>
      <c r="I22" s="9"/>
      <c r="R22" s="292" t="s">
        <v>345</v>
      </c>
    </row>
    <row r="23" spans="2:25" ht="17.100000000000001" customHeight="1" x14ac:dyDescent="0.25">
      <c r="B23" s="562" t="str">
        <f>'MONTE AQUI SUA CADEIRA DE RODAS'!CI89</f>
        <v/>
      </c>
      <c r="C23" s="562"/>
      <c r="D23" s="563" t="str">
        <f>'MONTE AQUI SUA CADEIRA DE RODAS'!CI91</f>
        <v/>
      </c>
      <c r="E23" s="563"/>
      <c r="F23" s="9"/>
      <c r="G23" s="9"/>
      <c r="H23" s="9"/>
      <c r="I23" s="9"/>
      <c r="S23" s="298" t="s">
        <v>387</v>
      </c>
      <c r="T23" s="298" t="s">
        <v>388</v>
      </c>
    </row>
    <row r="24" spans="2:25" ht="17.100000000000001" customHeight="1" x14ac:dyDescent="0.25">
      <c r="B24" s="533" t="str">
        <f>'MONTE AQUI SUA CADEIRA DE RODAS'!BX73</f>
        <v/>
      </c>
      <c r="C24" s="534"/>
      <c r="D24" s="534"/>
      <c r="E24" s="535"/>
      <c r="F24" s="9"/>
      <c r="G24" s="9"/>
      <c r="H24" s="9"/>
      <c r="I24" s="9"/>
      <c r="R24" s="297" t="str">
        <f>IF(E12=R22,"",E12-10)</f>
        <v/>
      </c>
      <c r="S24" s="298" t="e">
        <f>WEEKDAY(R24,2)</f>
        <v>#VALUE!</v>
      </c>
      <c r="T24" s="298" t="e">
        <f>VLOOKUP(S24,$AB$2:$AC$8,2,FALSE)</f>
        <v>#VALUE!</v>
      </c>
    </row>
    <row r="25" spans="2:25" ht="5.0999999999999996" customHeight="1" x14ac:dyDescent="0.2">
      <c r="B25" s="15"/>
      <c r="C25" s="16"/>
      <c r="D25" s="15"/>
      <c r="E25" s="17"/>
    </row>
    <row r="26" spans="2:25" ht="17.100000000000001" customHeight="1" x14ac:dyDescent="0.25">
      <c r="B26" s="14" t="s">
        <v>51</v>
      </c>
      <c r="C26" s="13" t="str">
        <f>'MONTE AQUI SUA CADEIRA DE RODAS'!$BG$77</f>
        <v>SEM ESCOLHA</v>
      </c>
      <c r="D26" s="14" t="s">
        <v>50</v>
      </c>
      <c r="E26" s="13" t="str">
        <f>IF(C26="SEM ESCOLHA","",'MONTE AQUI SUA CADEIRA DE RODAS'!CH80)</f>
        <v/>
      </c>
      <c r="F26" s="9"/>
      <c r="G26" s="9"/>
    </row>
    <row r="27" spans="2:25" ht="24.75" customHeight="1" x14ac:dyDescent="0.25">
      <c r="B27" s="540" t="str">
        <f>'MONTE AQUI SUA CADEIRA DE RODAS'!BX80</f>
        <v/>
      </c>
      <c r="C27" s="541"/>
      <c r="D27" s="524" t="str">
        <f>'MONTE AQUI SUA CADEIRA DE RODAS'!BX88</f>
        <v/>
      </c>
      <c r="E27" s="526"/>
      <c r="F27" s="9"/>
      <c r="G27" s="9"/>
      <c r="H27" s="9"/>
      <c r="I27" s="9"/>
      <c r="R27" s="297" t="str">
        <f>IF(E12=R22,"",R24+T24)</f>
        <v/>
      </c>
    </row>
    <row r="28" spans="2:25" ht="17.100000000000001" customHeight="1" x14ac:dyDescent="0.25">
      <c r="B28" s="538" t="str">
        <f>'MONTE AQUI SUA CADEIRA DE RODAS'!BX86</f>
        <v/>
      </c>
      <c r="C28" s="539"/>
      <c r="D28" s="524" t="str">
        <f>'MONTE AQUI SUA CADEIRA DE RODAS'!BX83</f>
        <v/>
      </c>
      <c r="E28" s="526"/>
      <c r="F28" s="9"/>
      <c r="I28" s="9"/>
    </row>
    <row r="29" spans="2:25" ht="17.100000000000001" customHeight="1" x14ac:dyDescent="0.25">
      <c r="B29" s="524" t="str">
        <f>'MONTE AQUI SUA CADEIRA DE RODAS'!BX92</f>
        <v/>
      </c>
      <c r="C29" s="525"/>
      <c r="D29" s="525"/>
      <c r="E29" s="526"/>
      <c r="F29" s="9"/>
      <c r="G29" s="9"/>
      <c r="H29" s="9"/>
      <c r="I29" s="9"/>
    </row>
    <row r="30" spans="2:25" ht="5.0999999999999996" customHeight="1" x14ac:dyDescent="0.2">
      <c r="B30" s="15"/>
      <c r="C30" s="16"/>
      <c r="D30" s="15"/>
      <c r="E30" s="17"/>
    </row>
    <row r="31" spans="2:25" ht="17.100000000000001" customHeight="1" x14ac:dyDescent="0.25">
      <c r="B31" s="14" t="s">
        <v>85</v>
      </c>
      <c r="C31" s="252" t="str">
        <f>'MONTE AQUI SUA CADEIRA DE RODAS'!BZ118</f>
        <v>SEM ESTABILIZADOR</v>
      </c>
      <c r="D31" s="14" t="s">
        <v>86</v>
      </c>
      <c r="E31" s="253" t="str">
        <f>'MONTE AQUI SUA CADEIRA DE RODAS'!BZ134</f>
        <v>SEM ESTABILIZADOR</v>
      </c>
      <c r="F31" s="9"/>
      <c r="G31" s="9"/>
      <c r="H31" s="9"/>
      <c r="I31" s="9"/>
    </row>
    <row r="32" spans="2:25" ht="21" customHeight="1" x14ac:dyDescent="0.25">
      <c r="B32" s="244"/>
      <c r="C32" s="287" t="str">
        <f>IF(C31="SEM ESTABILIZADOR","",'MONTE AQUI SUA CADEIRA DE RODAS'!BX118)</f>
        <v/>
      </c>
      <c r="D32" s="244"/>
      <c r="E32" s="287" t="str">
        <f>IF(E31="SEM ESTABILIZADOR","",'MONTE AQUI SUA CADEIRA DE RODAS'!BX135)</f>
        <v/>
      </c>
      <c r="F32" s="9"/>
      <c r="G32" s="9"/>
      <c r="H32" s="9"/>
      <c r="I32" s="9"/>
      <c r="T32" s="571" t="s">
        <v>401</v>
      </c>
      <c r="U32" s="571"/>
      <c r="V32" s="571"/>
      <c r="W32" s="571"/>
      <c r="X32" s="571"/>
      <c r="Y32" s="571"/>
    </row>
    <row r="33" spans="2:25" ht="17.100000000000001" customHeight="1" x14ac:dyDescent="0.25">
      <c r="B33" s="524" t="str">
        <f>IF(C31="SEM ESTABILIZADOR","",'MONTE AQUI SUA CADEIRA DE RODAS'!BX121)</f>
        <v/>
      </c>
      <c r="C33" s="525"/>
      <c r="D33" s="524" t="str">
        <f>'MONTE AQUI SUA CADEIRA DE RODAS'!BX124</f>
        <v/>
      </c>
      <c r="E33" s="526"/>
      <c r="F33" s="9"/>
      <c r="G33" s="25"/>
      <c r="H33" s="25"/>
      <c r="T33" s="571"/>
      <c r="U33" s="571"/>
      <c r="V33" s="571"/>
      <c r="W33" s="571"/>
      <c r="X33" s="571"/>
      <c r="Y33" s="571"/>
    </row>
    <row r="34" spans="2:25" ht="17.100000000000001" customHeight="1" x14ac:dyDescent="0.25">
      <c r="B34" s="524" t="str">
        <f>'MONTE AQUI SUA CADEIRA DE RODAS'!CH128</f>
        <v/>
      </c>
      <c r="C34" s="525"/>
      <c r="D34" s="524" t="str">
        <f>'MONTE AQUI SUA CADEIRA DE RODAS'!CH144</f>
        <v/>
      </c>
      <c r="E34" s="526"/>
      <c r="F34" s="9"/>
      <c r="G34" s="25"/>
      <c r="H34" s="25"/>
      <c r="T34" s="571"/>
      <c r="U34" s="571"/>
      <c r="V34" s="571"/>
      <c r="W34" s="571"/>
      <c r="X34" s="571"/>
      <c r="Y34" s="571"/>
    </row>
    <row r="35" spans="2:25" ht="5.0999999999999996" customHeight="1" x14ac:dyDescent="0.25">
      <c r="B35" s="15"/>
      <c r="C35" s="16"/>
      <c r="D35" s="15"/>
      <c r="E35" s="17"/>
      <c r="F35" s="9"/>
      <c r="G35" s="9"/>
    </row>
    <row r="36" spans="2:25" ht="17.100000000000001" customHeight="1" x14ac:dyDescent="0.25">
      <c r="B36" s="14" t="s">
        <v>53</v>
      </c>
      <c r="C36" s="124" t="str">
        <f>'MONTE AQUI SUA CADEIRA DE RODAS'!BZ150</f>
        <v>SEM ESCOLHA</v>
      </c>
      <c r="D36" s="536" t="str">
        <f>'MONTE AQUI SUA CADEIRA DE RODAS'!BZ175</f>
        <v/>
      </c>
      <c r="E36" s="537"/>
      <c r="F36" s="9"/>
      <c r="G36" s="9"/>
    </row>
    <row r="37" spans="2:25" ht="17.100000000000001" customHeight="1" x14ac:dyDescent="0.25">
      <c r="B37" s="14" t="s">
        <v>138</v>
      </c>
      <c r="C37" s="13" t="str">
        <f>IF(C36="SEM ESCOLHA","",'MONTE AQUI SUA CADEIRA DE RODAS'!BZ162)</f>
        <v/>
      </c>
      <c r="D37" s="536" t="str">
        <f>'MONTE AQUI SUA CADEIRA DE RODAS'!BZ176</f>
        <v/>
      </c>
      <c r="E37" s="537"/>
      <c r="F37" s="9"/>
      <c r="G37" s="9"/>
      <c r="H37" s="9"/>
    </row>
    <row r="38" spans="2:25" ht="17.100000000000001" customHeight="1" x14ac:dyDescent="0.25">
      <c r="B38" s="131" t="str">
        <f>'MONTE AQUI SUA CADEIRA DE RODAS'!BZ153</f>
        <v/>
      </c>
      <c r="C38" s="132" t="str">
        <f>'MONTE AQUI SUA CADEIRA DE RODAS'!CA153</f>
        <v/>
      </c>
      <c r="D38" s="158" t="str">
        <f>'MONTE AQUI SUA CADEIRA DE RODAS'!BZ178</f>
        <v/>
      </c>
      <c r="E38" s="143" t="str">
        <f>'MONTE AQUI SUA CADEIRA DE RODAS'!CB178</f>
        <v/>
      </c>
      <c r="F38" s="9"/>
      <c r="G38" s="9"/>
      <c r="H38" s="9"/>
    </row>
    <row r="39" spans="2:25" ht="18" customHeight="1" x14ac:dyDescent="0.25">
      <c r="B39" s="529" t="str">
        <f>'MONTE AQUI SUA CADEIRA DE RODAS'!BZ182</f>
        <v/>
      </c>
      <c r="C39" s="530"/>
      <c r="D39" s="524" t="str">
        <f>'MONTE AQUI SUA CADEIRA DE RODAS'!BZ184</f>
        <v/>
      </c>
      <c r="E39" s="526"/>
      <c r="F39" s="9"/>
      <c r="G39" s="9"/>
    </row>
    <row r="40" spans="2:25" ht="17.100000000000001" customHeight="1" x14ac:dyDescent="0.25">
      <c r="B40" s="536" t="str">
        <f>'MONTE AQUI SUA CADEIRA DE RODAS'!BZ171</f>
        <v/>
      </c>
      <c r="C40" s="555"/>
      <c r="D40" s="555"/>
      <c r="E40" s="537"/>
      <c r="F40" s="9"/>
      <c r="G40" s="9"/>
      <c r="H40" s="9"/>
    </row>
    <row r="41" spans="2:25" ht="5.0999999999999996" customHeight="1" x14ac:dyDescent="0.25">
      <c r="B41" s="15"/>
      <c r="C41" s="16"/>
      <c r="D41" s="15"/>
      <c r="E41" s="17"/>
      <c r="F41" s="9"/>
      <c r="G41" s="9"/>
      <c r="H41" s="9"/>
    </row>
    <row r="42" spans="2:25" ht="17.100000000000001" customHeight="1" x14ac:dyDescent="0.25">
      <c r="B42" s="14" t="s">
        <v>54</v>
      </c>
      <c r="C42" s="159" t="str">
        <f>'MONTE AQUI SUA CADEIRA DE RODAS'!BZ202</f>
        <v>SEM ESCOLHA</v>
      </c>
      <c r="D42" s="14" t="s">
        <v>50</v>
      </c>
      <c r="E42" s="13" t="str">
        <f>'MONTE AQUI SUA CADEIRA DE RODAS'!CB202</f>
        <v/>
      </c>
      <c r="F42" s="9"/>
      <c r="G42" s="9"/>
      <c r="H42" s="9"/>
    </row>
    <row r="43" spans="2:25" ht="17.100000000000001" customHeight="1" x14ac:dyDescent="0.25">
      <c r="B43" s="564" t="str">
        <f>'MONTE AQUI SUA CADEIRA DE RODAS'!BZ217</f>
        <v/>
      </c>
      <c r="C43" s="564"/>
      <c r="D43" s="565" t="str">
        <f>'MONTE AQUI SUA CADEIRA DE RODAS'!BZ208</f>
        <v/>
      </c>
      <c r="E43" s="565"/>
      <c r="F43" s="9"/>
      <c r="G43" s="9"/>
      <c r="H43" s="9"/>
    </row>
    <row r="44" spans="2:25" ht="5.0999999999999996" customHeight="1" x14ac:dyDescent="0.25">
      <c r="B44" s="15"/>
      <c r="C44" s="16"/>
      <c r="D44" s="15"/>
      <c r="E44" s="17"/>
      <c r="F44" s="9"/>
      <c r="G44" s="9"/>
      <c r="H44" s="9"/>
    </row>
    <row r="45" spans="2:25" ht="17.100000000000001" customHeight="1" x14ac:dyDescent="0.25">
      <c r="B45" s="14" t="s">
        <v>55</v>
      </c>
      <c r="C45" s="157" t="str">
        <f>'MONTE AQUI SUA CADEIRA DE RODAS'!BZ225</f>
        <v>SEM ESCOLHA</v>
      </c>
      <c r="D45" s="14" t="s">
        <v>50</v>
      </c>
      <c r="E45" s="13" t="str">
        <f>'MONTE AQUI SUA CADEIRA DE RODAS'!BZ226</f>
        <v/>
      </c>
      <c r="F45" s="9"/>
      <c r="G45" s="9"/>
      <c r="H45" s="9"/>
    </row>
    <row r="46" spans="2:25" ht="17.100000000000001" customHeight="1" x14ac:dyDescent="0.25">
      <c r="B46" s="536" t="str">
        <f>'MONTE AQUI SUA CADEIRA DE RODAS'!BZ239</f>
        <v/>
      </c>
      <c r="C46" s="555"/>
      <c r="D46" s="555"/>
      <c r="E46" s="537"/>
      <c r="F46" s="9"/>
      <c r="G46" s="9"/>
      <c r="H46" s="9"/>
    </row>
    <row r="47" spans="2:25" ht="5.0999999999999996" customHeight="1" x14ac:dyDescent="0.2">
      <c r="B47" s="15"/>
      <c r="C47" s="16"/>
      <c r="D47" s="15"/>
      <c r="E47" s="17"/>
    </row>
    <row r="48" spans="2:25" ht="34.5" customHeight="1" x14ac:dyDescent="0.25">
      <c r="B48" s="259" t="s">
        <v>174</v>
      </c>
      <c r="C48" s="126" t="str">
        <f>'MONTE AQUI SUA CADEIRA DE RODAS'!BZ248</f>
        <v>SEM CINTO</v>
      </c>
      <c r="D48" s="156" t="s">
        <v>173</v>
      </c>
      <c r="E48" s="126" t="str">
        <f>'MONTE AQUI SUA CADEIRA DE RODAS'!BR260</f>
        <v xml:space="preserve">FALTA ESCOLHER  </v>
      </c>
      <c r="F48" s="9"/>
      <c r="H48" s="9"/>
      <c r="I48" s="9"/>
    </row>
    <row r="49" spans="2:9" ht="17.100000000000001" customHeight="1" x14ac:dyDescent="0.25">
      <c r="B49" s="288"/>
      <c r="C49" s="13" t="str">
        <f>IF(C48="SEM CINTO","",'MONTE AQUI SUA CADEIRA DE RODAS'!BZ251)</f>
        <v/>
      </c>
      <c r="E49" s="13" t="str">
        <f>IF(E48="SEM CINTO","",'MONTE AQUI SUA CADEIRA DE RODAS'!BR263)</f>
        <v>SEM CINTO</v>
      </c>
      <c r="F49" s="9"/>
      <c r="G49" s="9"/>
      <c r="H49" s="9"/>
      <c r="I49" s="9"/>
    </row>
    <row r="50" spans="2:9" ht="17.100000000000001" customHeight="1" x14ac:dyDescent="0.25">
      <c r="B50" s="142" t="str">
        <f>'MONTE AQUI SUA CADEIRA DE RODAS'!BZ243</f>
        <v/>
      </c>
      <c r="C50" s="258" t="str">
        <f>'MONTE AQUI SUA CADEIRA DE RODAS'!BR246</f>
        <v/>
      </c>
      <c r="D50" s="142" t="str">
        <f>IF(E48="SEM CINTO","",'MONTE AQUI SUA CADEIRA DE RODAS'!BR269)</f>
        <v/>
      </c>
      <c r="E50" s="154" t="str">
        <f>IF(E48="SEM CINTO","",'MONTE AQUI SUA CADEIRA DE RODAS'!BR270)</f>
        <v/>
      </c>
      <c r="F50" s="9"/>
      <c r="G50" s="9"/>
      <c r="H50" s="9"/>
      <c r="I50" s="9"/>
    </row>
    <row r="51" spans="2:9" ht="17.100000000000001" customHeight="1" x14ac:dyDescent="0.25">
      <c r="B51" s="565" t="str">
        <f>'MONTE AQUI SUA CADEIRA DE RODAS'!BZ256</f>
        <v/>
      </c>
      <c r="C51" s="565"/>
      <c r="D51" s="564" t="str">
        <f>'MONTE AQUI SUA CADEIRA DE RODAS'!BZ278</f>
        <v/>
      </c>
      <c r="E51" s="564"/>
      <c r="F51" s="9"/>
      <c r="G51" s="9"/>
      <c r="H51" s="9"/>
    </row>
    <row r="52" spans="2:9" ht="5.0999999999999996" customHeight="1" x14ac:dyDescent="0.2">
      <c r="B52" s="15"/>
      <c r="C52" s="16"/>
      <c r="D52" s="15"/>
      <c r="E52" s="17"/>
    </row>
    <row r="53" spans="2:9" ht="20.25" customHeight="1" x14ac:dyDescent="0.25">
      <c r="B53" s="12" t="s">
        <v>145</v>
      </c>
      <c r="C53" s="569" t="str">
        <f>'MONTE AQUI SUA CADEIRA DE RODAS'!BZ286</f>
        <v>SEM MESA</v>
      </c>
      <c r="D53" s="570"/>
      <c r="E53" s="109"/>
      <c r="F53" s="9"/>
      <c r="G53" s="9"/>
      <c r="H53" s="9"/>
    </row>
    <row r="54" spans="2:9" ht="17.100000000000001" customHeight="1" x14ac:dyDescent="0.25">
      <c r="B54" s="565" t="str">
        <f>'MONTE AQUI SUA CADEIRA DE RODAS'!BZ302</f>
        <v/>
      </c>
      <c r="C54" s="565"/>
      <c r="D54" s="12" t="s">
        <v>50</v>
      </c>
      <c r="E54" s="13" t="str">
        <f>IF(C53="SEM MESA","",'MONTE AQUI SUA CADEIRA DE RODAS'!CB286)</f>
        <v/>
      </c>
      <c r="F54" s="9"/>
      <c r="G54" s="9"/>
      <c r="H54" s="9"/>
    </row>
    <row r="55" spans="2:9" ht="5.0999999999999996" customHeight="1" x14ac:dyDescent="0.25">
      <c r="B55" s="15"/>
      <c r="C55" s="16"/>
      <c r="D55" s="15"/>
      <c r="E55" s="17"/>
      <c r="F55" s="9"/>
      <c r="G55" s="9"/>
      <c r="H55" s="9"/>
      <c r="I55" s="9"/>
    </row>
    <row r="56" spans="2:9" ht="26.25" customHeight="1" x14ac:dyDescent="0.25">
      <c r="B56" s="566" t="s">
        <v>151</v>
      </c>
      <c r="C56" s="567"/>
      <c r="D56" s="567"/>
      <c r="E56" s="568"/>
      <c r="F56" s="9"/>
      <c r="G56" s="9"/>
    </row>
    <row r="57" spans="2:9" ht="16.5" customHeight="1" x14ac:dyDescent="0.25">
      <c r="B57" s="308" t="str">
        <f>'MONTE AQUI SUA CADEIRA DE RODAS'!BZ308</f>
        <v/>
      </c>
      <c r="C57" s="145" t="str">
        <f>'MONTE AQUI SUA CADEIRA DE RODAS'!CB308</f>
        <v/>
      </c>
      <c r="D57" s="314" t="str">
        <f>'MONTE AQUI SUA CADEIRA DE RODAS'!BZ310</f>
        <v/>
      </c>
      <c r="E57" s="315" t="str">
        <f>'MONTE AQUI SUA CADEIRA DE RODAS'!CF323</f>
        <v/>
      </c>
      <c r="F57" s="9"/>
      <c r="G57" s="9"/>
    </row>
    <row r="58" spans="2:9" ht="16.5" customHeight="1" x14ac:dyDescent="0.25">
      <c r="B58" s="144" t="str">
        <f>'MONTE AQUI SUA CADEIRA DE RODAS'!BZ312</f>
        <v/>
      </c>
      <c r="C58" s="161" t="str">
        <f>'MONTE AQUI SUA CADEIRA DE RODAS'!CB312</f>
        <v/>
      </c>
      <c r="D58" s="146" t="str">
        <f>'MONTE AQUI SUA CADEIRA DE RODAS'!CF319</f>
        <v/>
      </c>
      <c r="E58" s="251" t="str">
        <f>'MONTE AQUI SUA CADEIRA DE RODAS'!CF317</f>
        <v/>
      </c>
      <c r="F58" s="9"/>
      <c r="G58" s="9"/>
    </row>
    <row r="59" spans="2:9" ht="16.5" customHeight="1" x14ac:dyDescent="0.25">
      <c r="B59" s="524" t="str">
        <f>'MONTE AQUI SUA CADEIRA DE RODAS'!BZ326</f>
        <v/>
      </c>
      <c r="C59" s="526"/>
      <c r="D59" s="147" t="str">
        <f>'MONTE AQUI SUA CADEIRA DE RODAS'!CF315</f>
        <v/>
      </c>
      <c r="E59" s="316" t="str">
        <f>'MONTE AQUI SUA CADEIRA DE RODAS'!CF321</f>
        <v/>
      </c>
      <c r="F59" s="9"/>
    </row>
    <row r="60" spans="2:9" ht="16.5" customHeight="1" x14ac:dyDescent="0.25">
      <c r="B60" s="524" t="str">
        <f>'MONTE AQUI SUA CADEIRA DE RODAS'!BZ314</f>
        <v/>
      </c>
      <c r="C60" s="526"/>
      <c r="D60" s="524" t="str">
        <f>'MONTE AQUI SUA CADEIRA DE RODAS'!BR327</f>
        <v/>
      </c>
      <c r="E60" s="526"/>
      <c r="F60" s="9"/>
      <c r="I60" s="9"/>
    </row>
    <row r="61" spans="2:9" ht="16.5" customHeight="1" x14ac:dyDescent="0.25">
      <c r="B61" s="524" t="str">
        <f>'MONTE AQUI SUA CADEIRA DE RODAS'!BZ316</f>
        <v/>
      </c>
      <c r="C61" s="526"/>
      <c r="D61" s="308" t="str">
        <f>'MONTE AQUI SUA CADEIRA DE RODAS'!BZ320</f>
        <v/>
      </c>
      <c r="E61" s="109"/>
      <c r="F61" s="9"/>
      <c r="H61" s="9"/>
    </row>
    <row r="62" spans="2:9" ht="16.5" customHeight="1" x14ac:dyDescent="0.25">
      <c r="B62" s="524" t="str">
        <f>IF(B61="","",'MONTE AQUI SUA CADEIRA DE RODAS'!BZ318)</f>
        <v/>
      </c>
      <c r="C62" s="526"/>
      <c r="D62" s="308" t="str">
        <f>'MONTE AQUI SUA CADEIRA DE RODAS'!BZ306</f>
        <v/>
      </c>
      <c r="E62" s="109"/>
      <c r="F62" s="9"/>
      <c r="H62" s="9"/>
      <c r="I62" s="9"/>
    </row>
    <row r="63" spans="2:9" ht="20.25" customHeight="1" x14ac:dyDescent="0.25">
      <c r="B63" s="536" t="str">
        <f>'MONTE AQUI SUA CADEIRA DE RODAS'!BZ324</f>
        <v/>
      </c>
      <c r="C63" s="555"/>
      <c r="D63" s="555"/>
      <c r="E63" s="537"/>
      <c r="F63" s="9"/>
      <c r="H63" s="9"/>
      <c r="I63" s="9"/>
    </row>
    <row r="64" spans="2:9" ht="5.0999999999999996" customHeight="1" x14ac:dyDescent="0.25">
      <c r="B64" s="18"/>
      <c r="C64" s="19"/>
      <c r="D64" s="18"/>
      <c r="E64" s="20"/>
      <c r="F64" s="9"/>
      <c r="G64" s="9"/>
      <c r="H64" s="9"/>
      <c r="I64" s="9"/>
    </row>
    <row r="65" spans="2:9" ht="17.100000000000001" customHeight="1" x14ac:dyDescent="0.25">
      <c r="B65" s="558" t="s">
        <v>57</v>
      </c>
      <c r="C65" s="558"/>
      <c r="D65" s="559" t="s">
        <v>58</v>
      </c>
      <c r="E65" s="559"/>
      <c r="F65" s="9"/>
      <c r="G65" s="9"/>
      <c r="H65" s="9"/>
      <c r="I65" s="9"/>
    </row>
    <row r="66" spans="2:9" ht="24.75" customHeight="1" x14ac:dyDescent="0.25">
      <c r="B66" s="21" t="s">
        <v>59</v>
      </c>
      <c r="C66" s="21" t="s">
        <v>60</v>
      </c>
      <c r="D66" s="560" t="s">
        <v>67</v>
      </c>
      <c r="E66" s="561"/>
      <c r="F66" s="9"/>
      <c r="G66" s="9"/>
      <c r="I66" s="9"/>
    </row>
    <row r="67" spans="2:9" ht="24.75" customHeight="1" x14ac:dyDescent="0.25">
      <c r="B67" s="155" t="s">
        <v>61</v>
      </c>
      <c r="C67" s="155" t="s">
        <v>61</v>
      </c>
      <c r="D67" s="560"/>
      <c r="E67" s="561"/>
      <c r="F67" s="9"/>
      <c r="G67" s="9"/>
      <c r="H67" s="9"/>
      <c r="I67" s="9"/>
    </row>
    <row r="68" spans="2:9" ht="5.0999999999999996" customHeight="1" x14ac:dyDescent="0.25">
      <c r="B68" s="18"/>
      <c r="C68" s="19"/>
      <c r="D68" s="18"/>
      <c r="E68" s="20"/>
      <c r="F68" s="9"/>
      <c r="G68" s="9"/>
      <c r="H68" s="9"/>
      <c r="I68" s="9"/>
    </row>
    <row r="69" spans="2:9" ht="17.100000000000001" customHeight="1" x14ac:dyDescent="0.25">
      <c r="B69" s="558" t="s">
        <v>62</v>
      </c>
      <c r="C69" s="558"/>
      <c r="D69" s="558"/>
      <c r="E69" s="558"/>
      <c r="F69" s="9"/>
      <c r="G69" s="9"/>
      <c r="H69" s="9"/>
      <c r="I69" s="9"/>
    </row>
    <row r="70" spans="2:9" ht="35.25" customHeight="1" x14ac:dyDescent="0.25">
      <c r="B70" s="556" t="s">
        <v>63</v>
      </c>
      <c r="C70" s="556"/>
      <c r="D70" s="557" t="s">
        <v>64</v>
      </c>
      <c r="E70" s="557"/>
      <c r="F70" s="9"/>
      <c r="G70" s="9"/>
      <c r="H70" s="9"/>
      <c r="I70" s="9"/>
    </row>
    <row r="71" spans="2:9" ht="18" x14ac:dyDescent="0.25">
      <c r="B71" s="22"/>
      <c r="D71" s="22"/>
      <c r="F71" s="9"/>
      <c r="G71" s="9"/>
      <c r="H71" s="9"/>
      <c r="I71" s="9"/>
    </row>
    <row r="72" spans="2:9" ht="18" x14ac:dyDescent="0.25">
      <c r="B72" s="22"/>
      <c r="D72" s="22"/>
      <c r="F72" s="9"/>
      <c r="G72" s="9"/>
      <c r="H72" s="9"/>
      <c r="I72" s="9"/>
    </row>
    <row r="73" spans="2:9" ht="18" x14ac:dyDescent="0.25">
      <c r="B73" s="22"/>
      <c r="D73" s="22"/>
      <c r="F73" s="9"/>
      <c r="G73" s="9"/>
      <c r="H73" s="9"/>
      <c r="I73" s="9"/>
    </row>
    <row r="74" spans="2:9" ht="18" x14ac:dyDescent="0.25">
      <c r="B74" s="22"/>
      <c r="D74" s="22"/>
      <c r="F74" s="9"/>
      <c r="G74" s="9"/>
      <c r="H74" s="9"/>
      <c r="I74" s="9"/>
    </row>
    <row r="75" spans="2:9" ht="18" x14ac:dyDescent="0.25">
      <c r="B75" s="22"/>
      <c r="D75" s="22"/>
      <c r="F75" s="9"/>
      <c r="G75" s="9"/>
      <c r="H75" s="9"/>
      <c r="I75" s="9"/>
    </row>
    <row r="76" spans="2:9" ht="18" x14ac:dyDescent="0.25">
      <c r="B76" s="22"/>
      <c r="D76" s="22"/>
      <c r="F76" s="9"/>
      <c r="G76" s="9"/>
      <c r="H76" s="9"/>
      <c r="I76" s="9"/>
    </row>
    <row r="77" spans="2:9" ht="18" x14ac:dyDescent="0.25">
      <c r="H77" s="9"/>
    </row>
  </sheetData>
  <sheetProtection algorithmName="SHA-512" hashValue="d/4K187Yy3PQVGOLSAuuKSJ2HI8IRSrYA3DxoYWbXXUPknXTxoejvMUZRJ4k/g1V/bk9zwz0cXj/oxzfUwwUYw==" saltValue="9zmW+v+0WYPQX81GNrh2Jw==" spinCount="100000" sheet="1" objects="1" scenarios="1" selectLockedCells="1"/>
  <mergeCells count="48">
    <mergeCell ref="T32:Y34"/>
    <mergeCell ref="B23:C23"/>
    <mergeCell ref="D23:E23"/>
    <mergeCell ref="B59:C59"/>
    <mergeCell ref="B63:E63"/>
    <mergeCell ref="B60:C60"/>
    <mergeCell ref="B43:C43"/>
    <mergeCell ref="D43:E43"/>
    <mergeCell ref="B33:C33"/>
    <mergeCell ref="D36:E36"/>
    <mergeCell ref="B56:E56"/>
    <mergeCell ref="B54:C54"/>
    <mergeCell ref="C53:D53"/>
    <mergeCell ref="D51:E51"/>
    <mergeCell ref="B51:C51"/>
    <mergeCell ref="B40:E40"/>
    <mergeCell ref="B46:E46"/>
    <mergeCell ref="B70:C70"/>
    <mergeCell ref="D70:E70"/>
    <mergeCell ref="B65:C65"/>
    <mergeCell ref="D65:E65"/>
    <mergeCell ref="D66:D67"/>
    <mergeCell ref="E66:E67"/>
    <mergeCell ref="B69:E69"/>
    <mergeCell ref="B62:C62"/>
    <mergeCell ref="B61:C61"/>
    <mergeCell ref="D60:E60"/>
    <mergeCell ref="C3:E6"/>
    <mergeCell ref="D15:E15"/>
    <mergeCell ref="B18:C18"/>
    <mergeCell ref="D18:E18"/>
    <mergeCell ref="C11:C12"/>
    <mergeCell ref="B21:C21"/>
    <mergeCell ref="D21:E21"/>
    <mergeCell ref="B22:C22"/>
    <mergeCell ref="D33:E33"/>
    <mergeCell ref="B39:C39"/>
    <mergeCell ref="D22:E22"/>
    <mergeCell ref="B24:E24"/>
    <mergeCell ref="D37:E37"/>
    <mergeCell ref="B34:C34"/>
    <mergeCell ref="D34:E34"/>
    <mergeCell ref="B28:C28"/>
    <mergeCell ref="B27:C27"/>
    <mergeCell ref="D28:E28"/>
    <mergeCell ref="D39:E39"/>
    <mergeCell ref="D27:E27"/>
    <mergeCell ref="B29:E29"/>
  </mergeCells>
  <conditionalFormatting sqref="B50:C51 D38 B39 B29 B57 B21:E23 D61:D62 B59:B60 B62 D58:E59 E57">
    <cfRule type="cellIs" dxfId="64" priority="115" stopIfTrue="1" operator="notEqual">
      <formula>""</formula>
    </cfRule>
  </conditionalFormatting>
  <conditionalFormatting sqref="D18:E18">
    <cfRule type="cellIs" dxfId="63" priority="110" stopIfTrue="1" operator="notEqual">
      <formula>""</formula>
    </cfRule>
  </conditionalFormatting>
  <conditionalFormatting sqref="B27:C27">
    <cfRule type="cellIs" dxfId="62" priority="113" stopIfTrue="1" operator="notEqual">
      <formula>""</formula>
    </cfRule>
  </conditionalFormatting>
  <conditionalFormatting sqref="D28:E28">
    <cfRule type="cellIs" dxfId="61" priority="112" stopIfTrue="1" operator="notEqual">
      <formula>""</formula>
    </cfRule>
  </conditionalFormatting>
  <conditionalFormatting sqref="B18:C18">
    <cfRule type="cellIs" dxfId="60" priority="111" stopIfTrue="1" operator="notEqual">
      <formula>""</formula>
    </cfRule>
  </conditionalFormatting>
  <conditionalFormatting sqref="D33:E33">
    <cfRule type="cellIs" dxfId="59" priority="108" stopIfTrue="1" operator="notEqual">
      <formula>""</formula>
    </cfRule>
  </conditionalFormatting>
  <conditionalFormatting sqref="B33:C33">
    <cfRule type="cellIs" dxfId="58" priority="109" stopIfTrue="1" operator="notEqual">
      <formula>""</formula>
    </cfRule>
  </conditionalFormatting>
  <conditionalFormatting sqref="D15:E15">
    <cfRule type="cellIs" dxfId="57" priority="107" stopIfTrue="1" operator="notEqual">
      <formula>""</formula>
    </cfRule>
  </conditionalFormatting>
  <conditionalFormatting sqref="C31">
    <cfRule type="cellIs" dxfId="56" priority="11" stopIfTrue="1" operator="equal">
      <formula>"SEM ESCOLHA"</formula>
    </cfRule>
    <cfRule type="cellIs" dxfId="55" priority="105" stopIfTrue="1" operator="notEqual">
      <formula>""</formula>
    </cfRule>
  </conditionalFormatting>
  <conditionalFormatting sqref="B40">
    <cfRule type="cellIs" dxfId="54" priority="104" stopIfTrue="1" operator="notEqual">
      <formula>""</formula>
    </cfRule>
  </conditionalFormatting>
  <conditionalFormatting sqref="D36:D37">
    <cfRule type="cellIs" dxfId="53" priority="102" stopIfTrue="1" operator="notEqual">
      <formula>""</formula>
    </cfRule>
  </conditionalFormatting>
  <conditionalFormatting sqref="E38">
    <cfRule type="cellIs" dxfId="52" priority="99" stopIfTrue="1" operator="notEqual">
      <formula>""</formula>
    </cfRule>
  </conditionalFormatting>
  <conditionalFormatting sqref="B46">
    <cfRule type="cellIs" dxfId="51" priority="96" stopIfTrue="1" operator="notEqual">
      <formula>""</formula>
    </cfRule>
  </conditionalFormatting>
  <conditionalFormatting sqref="B43">
    <cfRule type="cellIs" dxfId="50" priority="98" stopIfTrue="1" operator="notEqual">
      <formula>""</formula>
    </cfRule>
  </conditionalFormatting>
  <conditionalFormatting sqref="D51:E51">
    <cfRule type="cellIs" dxfId="49" priority="94" stopIfTrue="1" operator="notEqual">
      <formula>""</formula>
    </cfRule>
  </conditionalFormatting>
  <conditionalFormatting sqref="C15">
    <cfRule type="cellIs" dxfId="48" priority="74" operator="equal">
      <formula>"SEM ESCOLHA"</formula>
    </cfRule>
  </conditionalFormatting>
  <conditionalFormatting sqref="C17">
    <cfRule type="cellIs" dxfId="47" priority="73" operator="equal">
      <formula>"SEM ESCOLHA"</formula>
    </cfRule>
  </conditionalFormatting>
  <conditionalFormatting sqref="E17">
    <cfRule type="cellIs" dxfId="46" priority="34" stopIfTrue="1" operator="equal">
      <formula>"FALTA TAMANHO"</formula>
    </cfRule>
    <cfRule type="cellIs" dxfId="45" priority="72" stopIfTrue="1" operator="equal">
      <formula>"SEM ESCOLHA"</formula>
    </cfRule>
  </conditionalFormatting>
  <conditionalFormatting sqref="C26">
    <cfRule type="cellIs" dxfId="44" priority="69" operator="equal">
      <formula>"SEM ESCOLHA"</formula>
    </cfRule>
  </conditionalFormatting>
  <conditionalFormatting sqref="C20">
    <cfRule type="cellIs" dxfId="43" priority="70" operator="equal">
      <formula>"SEM ESCOLHA"</formula>
    </cfRule>
  </conditionalFormatting>
  <conditionalFormatting sqref="E26">
    <cfRule type="cellIs" dxfId="42" priority="68" operator="equal">
      <formula>"SEM ESCOLHA"</formula>
    </cfRule>
  </conditionalFormatting>
  <conditionalFormatting sqref="E32">
    <cfRule type="cellIs" dxfId="41" priority="67" operator="equal">
      <formula>"SEM ESCOLHA"</formula>
    </cfRule>
  </conditionalFormatting>
  <conditionalFormatting sqref="C32">
    <cfRule type="cellIs" dxfId="40" priority="66" operator="equal">
      <formula>"SEM ESCOLHA"</formula>
    </cfRule>
  </conditionalFormatting>
  <conditionalFormatting sqref="C36">
    <cfRule type="cellIs" dxfId="39" priority="65" operator="equal">
      <formula>"SEM ESCOLHA"</formula>
    </cfRule>
  </conditionalFormatting>
  <conditionalFormatting sqref="C37">
    <cfRule type="cellIs" dxfId="38" priority="64" operator="equal">
      <formula>"SEM ESCOLHA"</formula>
    </cfRule>
  </conditionalFormatting>
  <conditionalFormatting sqref="C42">
    <cfRule type="cellIs" dxfId="37" priority="63" operator="equal">
      <formula>"SEM ESCOLHA"</formula>
    </cfRule>
  </conditionalFormatting>
  <conditionalFormatting sqref="C45">
    <cfRule type="cellIs" dxfId="36" priority="62" operator="equal">
      <formula>"SEM ESCOLHA"</formula>
    </cfRule>
  </conditionalFormatting>
  <conditionalFormatting sqref="B24">
    <cfRule type="cellIs" dxfId="35" priority="60" stopIfTrue="1" operator="notEqual">
      <formula>""</formula>
    </cfRule>
  </conditionalFormatting>
  <conditionalFormatting sqref="D34:E34">
    <cfRule type="cellIs" dxfId="34" priority="57" stopIfTrue="1" operator="notEqual">
      <formula>""</formula>
    </cfRule>
  </conditionalFormatting>
  <conditionalFormatting sqref="B34:C34">
    <cfRule type="cellIs" dxfId="33" priority="58" stopIfTrue="1" operator="notEqual">
      <formula>""</formula>
    </cfRule>
  </conditionalFormatting>
  <conditionalFormatting sqref="B28:C28">
    <cfRule type="cellIs" dxfId="32" priority="56" stopIfTrue="1" operator="notEqual">
      <formula>""</formula>
    </cfRule>
  </conditionalFormatting>
  <conditionalFormatting sqref="C49">
    <cfRule type="cellIs" dxfId="31" priority="10" stopIfTrue="1" operator="equal">
      <formula>"SEM ESCOLHA"</formula>
    </cfRule>
    <cfRule type="cellIs" dxfId="30" priority="54" stopIfTrue="1" operator="equal">
      <formula>"SEM ESCOLHA TAMANHO"</formula>
    </cfRule>
  </conditionalFormatting>
  <conditionalFormatting sqref="E49">
    <cfRule type="cellIs" dxfId="29" priority="53" stopIfTrue="1" operator="equal">
      <formula>"SEM ESCOLHA TAMANHO"</formula>
    </cfRule>
  </conditionalFormatting>
  <conditionalFormatting sqref="E31">
    <cfRule type="cellIs" dxfId="28" priority="52" stopIfTrue="1" operator="notEqual">
      <formula>""</formula>
    </cfRule>
  </conditionalFormatting>
  <conditionalFormatting sqref="E42">
    <cfRule type="cellIs" dxfId="27" priority="47" operator="equal">
      <formula>"SEM ESCOLHA"</formula>
    </cfRule>
  </conditionalFormatting>
  <conditionalFormatting sqref="D43">
    <cfRule type="cellIs" dxfId="26" priority="46" stopIfTrue="1" operator="notEqual">
      <formula>""</formula>
    </cfRule>
  </conditionalFormatting>
  <conditionalFormatting sqref="E45">
    <cfRule type="cellIs" dxfId="25" priority="45" operator="equal">
      <formula>"SEM ESCOLHA"</formula>
    </cfRule>
  </conditionalFormatting>
  <conditionalFormatting sqref="E54">
    <cfRule type="cellIs" dxfId="24" priority="43" operator="equal">
      <formula>"SEM ESCOLHA"</formula>
    </cfRule>
  </conditionalFormatting>
  <conditionalFormatting sqref="C57">
    <cfRule type="cellIs" dxfId="23" priority="41" stopIfTrue="1" operator="equal">
      <formula>"SEM ESCOLHA"</formula>
    </cfRule>
    <cfRule type="cellIs" dxfId="22" priority="42" stopIfTrue="1" operator="notEqual">
      <formula>""</formula>
    </cfRule>
  </conditionalFormatting>
  <conditionalFormatting sqref="D57">
    <cfRule type="cellIs" dxfId="21" priority="38" stopIfTrue="1" operator="notEqual">
      <formula>""</formula>
    </cfRule>
  </conditionalFormatting>
  <conditionalFormatting sqref="E20">
    <cfRule type="cellIs" dxfId="20" priority="32" stopIfTrue="1" operator="equal">
      <formula>"FALTA TAMANHO"</formula>
    </cfRule>
    <cfRule type="cellIs" dxfId="19" priority="33" stopIfTrue="1" operator="equal">
      <formula>"SEM ESCOLHA"</formula>
    </cfRule>
  </conditionalFormatting>
  <conditionalFormatting sqref="C48">
    <cfRule type="cellIs" dxfId="18" priority="24" stopIfTrue="1" operator="equal">
      <formula>"FALTA TAMANHO"</formula>
    </cfRule>
    <cfRule type="cellIs" dxfId="17" priority="31" stopIfTrue="1" operator="equal">
      <formula>"SEM ESCOLHA"</formula>
    </cfRule>
  </conditionalFormatting>
  <conditionalFormatting sqref="D50:E50">
    <cfRule type="cellIs" dxfId="16" priority="29" stopIfTrue="1" operator="notEqual">
      <formula>""</formula>
    </cfRule>
  </conditionalFormatting>
  <conditionalFormatting sqref="B38">
    <cfRule type="cellIs" dxfId="15" priority="27" operator="equal">
      <formula>"SEM ESCOLHA"</formula>
    </cfRule>
  </conditionalFormatting>
  <conditionalFormatting sqref="C38">
    <cfRule type="cellIs" dxfId="14" priority="26" operator="equal">
      <formula>"SEM ESCOLHA"</formula>
    </cfRule>
  </conditionalFormatting>
  <conditionalFormatting sqref="C50">
    <cfRule type="cellIs" dxfId="13" priority="25" stopIfTrue="1" operator="equal">
      <formula>"FALTA TAMANHO"</formula>
    </cfRule>
  </conditionalFormatting>
  <conditionalFormatting sqref="E50">
    <cfRule type="cellIs" dxfId="12" priority="23" stopIfTrue="1" operator="equal">
      <formula>"FALTA TAMANHO"</formula>
    </cfRule>
  </conditionalFormatting>
  <conditionalFormatting sqref="E48">
    <cfRule type="cellIs" dxfId="11" priority="21" stopIfTrue="1" operator="equal">
      <formula>"FALTA TAMANHO"</formula>
    </cfRule>
    <cfRule type="cellIs" dxfId="10" priority="22" stopIfTrue="1" operator="equal">
      <formula>"SEM ESCOLHA"</formula>
    </cfRule>
  </conditionalFormatting>
  <conditionalFormatting sqref="D39">
    <cfRule type="cellIs" dxfId="9" priority="20" stopIfTrue="1" operator="notEqual">
      <formula>""</formula>
    </cfRule>
  </conditionalFormatting>
  <conditionalFormatting sqref="D27:E27">
    <cfRule type="cellIs" dxfId="8" priority="16" stopIfTrue="1" operator="notEqual">
      <formula>""</formula>
    </cfRule>
  </conditionalFormatting>
  <conditionalFormatting sqref="C58">
    <cfRule type="cellIs" dxfId="7" priority="15" stopIfTrue="1" operator="notEqual">
      <formula>""</formula>
    </cfRule>
  </conditionalFormatting>
  <conditionalFormatting sqref="B58">
    <cfRule type="cellIs" dxfId="6" priority="14" stopIfTrue="1" operator="notEqual">
      <formula>""</formula>
    </cfRule>
  </conditionalFormatting>
  <conditionalFormatting sqref="B54:C54">
    <cfRule type="cellIs" dxfId="5" priority="6" stopIfTrue="1" operator="notEqual">
      <formula>""</formula>
    </cfRule>
  </conditionalFormatting>
  <conditionalFormatting sqref="B63">
    <cfRule type="cellIs" dxfId="4" priority="5" stopIfTrue="1" operator="notEqual">
      <formula>""</formula>
    </cfRule>
  </conditionalFormatting>
  <conditionalFormatting sqref="B61">
    <cfRule type="cellIs" dxfId="3" priority="4" stopIfTrue="1" operator="notEqual">
      <formula>""</formula>
    </cfRule>
  </conditionalFormatting>
  <conditionalFormatting sqref="B61:C61">
    <cfRule type="cellIs" dxfId="2" priority="3" operator="equal">
      <formula>"APLICAÇÃO DE ROUPAGEM NÃO ESCOLHIDA"</formula>
    </cfRule>
  </conditionalFormatting>
  <conditionalFormatting sqref="B62:C62">
    <cfRule type="cellIs" dxfId="1" priority="2" operator="equal">
      <formula>"FALTA ESCOLHER TIPO DE TECIDO"</formula>
    </cfRule>
  </conditionalFormatting>
  <conditionalFormatting sqref="D60">
    <cfRule type="cellIs" dxfId="0" priority="1" stopIfTrue="1" operator="notEqual">
      <formula>""</formula>
    </cfRule>
  </conditionalFormatting>
  <pageMargins left="0.51181102362204722" right="3.937007874015748E-2" top="0.23622047244094491" bottom="0.15748031496062992" header="0.15748031496062992" footer="0.11811023622047245"/>
  <pageSetup paperSize="9" scale="88" orientation="portrait" horizontalDpi="4294967292" verticalDpi="4294967292" r:id="rId1"/>
  <headerFooter alignWithMargins="0"/>
  <ignoredErrors>
    <ignoredError sqref="E8:E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4</vt:i4>
      </vt:variant>
    </vt:vector>
  </HeadingPairs>
  <TitlesOfParts>
    <vt:vector size="7" baseType="lpstr">
      <vt:lpstr>DEFINA O TAMANHO DA CADEIRA</vt:lpstr>
      <vt:lpstr>MONTE AQUI SUA CADEIRA DE RODAS</vt:lpstr>
      <vt:lpstr>FICHA PRODUÇÃO  -  EXPANSÃO</vt:lpstr>
      <vt:lpstr>'DEFINA O TAMANHO DA CADEIRA'!Area_de_impressao</vt:lpstr>
      <vt:lpstr>'FICHA PRODUÇÃO  -  EXPANSÃO'!Area_de_impressao</vt:lpstr>
      <vt:lpstr>'MONTE AQUI SUA CADEIRA DE RODAS'!Area_de_impressao</vt:lpstr>
      <vt:lpstr>'MONTE AQUI SUA CADEIRA DE RODAS'!Titulos_de_impressao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Izidoro</dc:creator>
  <cp:lastModifiedBy>Luiz Izidoro</cp:lastModifiedBy>
  <cp:lastPrinted>2016-11-16T23:17:07Z</cp:lastPrinted>
  <dcterms:created xsi:type="dcterms:W3CDTF">2016-08-17T12:19:02Z</dcterms:created>
  <dcterms:modified xsi:type="dcterms:W3CDTF">2017-03-14T10:25:03Z</dcterms:modified>
</cp:coreProperties>
</file>